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853" activeTab="0"/>
  </bookViews>
  <sheets>
    <sheet name="표지" sheetId="1" r:id="rId1"/>
    <sheet name="일위대가" sheetId="2" r:id="rId2"/>
    <sheet name="기본대가" sheetId="3" r:id="rId3"/>
    <sheet name="base" sheetId="4" state="hidden" r:id="rId4"/>
  </sheets>
  <definedNames>
    <definedName name="_xlnm.Print_Area" localSheetId="2">'기본대가'!$A$1:$M$27</definedName>
    <definedName name="_xlnm.Print_Area" localSheetId="1">'일위대가'!$A$1:$M$52</definedName>
    <definedName name="_xlnm.Print_Area" localSheetId="0">'표지'!#REF!</definedName>
    <definedName name="_xlnm.Print_Titles" localSheetId="1">'일위대가'!$2:$3</definedName>
  </definedNames>
  <calcPr fullCalcOnLoad="1"/>
</workbook>
</file>

<file path=xl/sharedStrings.xml><?xml version="1.0" encoding="utf-8"?>
<sst xmlns="http://schemas.openxmlformats.org/spreadsheetml/2006/main" count="305" uniqueCount="175">
  <si>
    <t>과  장</t>
  </si>
  <si>
    <t>심 사 자</t>
  </si>
  <si>
    <t>설 계 자</t>
  </si>
  <si>
    <t>설 계</t>
  </si>
  <si>
    <t xml:space="preserve">  년    월   일</t>
  </si>
  <si>
    <t>심 사</t>
  </si>
  <si>
    <t>업체명:</t>
  </si>
  <si>
    <t>T E L :</t>
  </si>
  <si>
    <t>일  자:</t>
  </si>
  <si>
    <t>F A X :</t>
  </si>
  <si>
    <t>담   당</t>
  </si>
  <si>
    <t>결  재</t>
  </si>
  <si>
    <t xml:space="preserve">       년   월   일</t>
  </si>
  <si>
    <t xml:space="preserve">                    설      계      서</t>
  </si>
  <si>
    <t>공 종</t>
  </si>
  <si>
    <t>수량</t>
  </si>
  <si>
    <t>단위</t>
  </si>
  <si>
    <t>재 료 비</t>
  </si>
  <si>
    <t>노 무 비</t>
  </si>
  <si>
    <t>합   계</t>
  </si>
  <si>
    <t>비  고</t>
  </si>
  <si>
    <t>단  가</t>
  </si>
  <si>
    <t>금  액</t>
  </si>
  <si>
    <t>인</t>
  </si>
  <si>
    <t>* "m"당 단가 :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</si>
  <si>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</si>
  <si>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</si>
  <si>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</si>
  <si>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</si>
  <si>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</si>
  <si>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</si>
  <si>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</si>
  <si>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</si>
  <si>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</si>
  <si>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</si>
  <si>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</si>
  <si>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백호(브레이커 포함)</t>
  </si>
  <si>
    <t>hr</t>
  </si>
  <si>
    <t>보통인부</t>
  </si>
  <si>
    <t>식</t>
  </si>
  <si>
    <t>잡재료비</t>
  </si>
  <si>
    <t>잡재료비</t>
  </si>
  <si>
    <t>식</t>
  </si>
  <si>
    <t>계</t>
  </si>
  <si>
    <t>인력품의 3%</t>
  </si>
  <si>
    <t>특별인부</t>
  </si>
  <si>
    <t>계</t>
  </si>
  <si>
    <r>
      <t>0.6m</t>
    </r>
    <r>
      <rPr>
        <vertAlign val="superscript"/>
        <sz val="10"/>
        <rFont val="굴림"/>
        <family val="3"/>
      </rPr>
      <t>3</t>
    </r>
  </si>
  <si>
    <t>대형브레이커</t>
  </si>
  <si>
    <t>경유</t>
  </si>
  <si>
    <t>l</t>
  </si>
  <si>
    <t>잡재료</t>
  </si>
  <si>
    <r>
      <t>0.6m</t>
    </r>
    <r>
      <rPr>
        <vertAlign val="superscript"/>
        <sz val="10"/>
        <rFont val="굴림"/>
        <family val="3"/>
      </rPr>
      <t>3</t>
    </r>
  </si>
  <si>
    <t>소계(제품비)</t>
  </si>
  <si>
    <t>소계(설치비)</t>
  </si>
  <si>
    <t>주연료의 24%</t>
  </si>
  <si>
    <t>건설기계운전사</t>
  </si>
  <si>
    <t>1일기준시간x상여계수x휴지계수=(1/8)x(16/12)x(25/20)</t>
  </si>
  <si>
    <r>
      <t xml:space="preserve"> * 제1호표 : 굴삭기(타이어, 0.6m</t>
    </r>
    <r>
      <rPr>
        <b/>
        <vertAlign val="superscript"/>
        <sz val="10"/>
        <rFont val="굴림"/>
        <family val="3"/>
      </rPr>
      <t>3</t>
    </r>
    <r>
      <rPr>
        <b/>
        <sz val="10"/>
        <rFont val="굴림"/>
        <family val="3"/>
      </rPr>
      <t>, 대형브레이커 포함)-'시간'당</t>
    </r>
  </si>
  <si>
    <t>지      주</t>
  </si>
  <si>
    <t>본</t>
  </si>
  <si>
    <t>2Way레일</t>
  </si>
  <si>
    <t>장</t>
  </si>
  <si>
    <t>개</t>
  </si>
  <si>
    <t>지주캡</t>
  </si>
  <si>
    <t>연결대고정 B/N</t>
  </si>
  <si>
    <t>셋트</t>
  </si>
  <si>
    <t>레일연결 B/N</t>
  </si>
  <si>
    <t>둥근머리/M19*180[1N,2PW]</t>
  </si>
  <si>
    <t>둥근머리/M16*33[1N,2PW]</t>
  </si>
  <si>
    <t>지      주</t>
  </si>
  <si>
    <t>본</t>
  </si>
  <si>
    <t>지주캡</t>
  </si>
  <si>
    <t>140×2t ×20</t>
  </si>
  <si>
    <t>개</t>
  </si>
  <si>
    <t>350×4t×4330</t>
  </si>
  <si>
    <t>(02)3436-6450</t>
  </si>
  <si>
    <t>표 준 형  가 드 레 일 [2WAY] - 성토부 비탈면 구간</t>
  </si>
  <si>
    <t xml:space="preserve"> * 노임단가</t>
  </si>
  <si>
    <t>2.5TON</t>
  </si>
  <si>
    <t>hr</t>
  </si>
  <si>
    <t>화물차운전사</t>
  </si>
  <si>
    <t>인</t>
  </si>
  <si>
    <t>계</t>
  </si>
  <si>
    <t>지지력 보강판</t>
  </si>
  <si>
    <t>350x500x3.2t</t>
  </si>
  <si>
    <t>개</t>
  </si>
  <si>
    <t>발전기</t>
  </si>
  <si>
    <t>25kw</t>
  </si>
  <si>
    <t>일반기계운전사</t>
  </si>
  <si>
    <t xml:space="preserve"> * 제2호표 : 덤프트럭(2.5ton)-'시간'당</t>
  </si>
  <si>
    <t>인</t>
  </si>
  <si>
    <t xml:space="preserve"> * 제3호표 : 발전기(25kw)-'시간'당</t>
  </si>
  <si>
    <t>덤프</t>
  </si>
  <si>
    <t>2Way레일 앤드레일</t>
  </si>
  <si>
    <t>350X765X4.0t</t>
  </si>
  <si>
    <t xml:space="preserve">2. 단부(표준형 H775 노측용) 설치공사 "개소"당 (성토부 비탈면 구간) </t>
  </si>
  <si>
    <t>일</t>
  </si>
  <si>
    <t>건설기계운전사</t>
  </si>
  <si>
    <t>일</t>
  </si>
  <si>
    <t>화물차운전사</t>
  </si>
  <si>
    <t>일반기계운전사</t>
  </si>
  <si>
    <t>발전기</t>
  </si>
  <si>
    <t>25kw</t>
  </si>
  <si>
    <t>hr</t>
  </si>
  <si>
    <t>1일기준시간x상여계수x휴지계수=(1/8)x(16/12)x(25/20)</t>
  </si>
  <si>
    <t>덤프트럭</t>
  </si>
  <si>
    <t>2.5ton</t>
  </si>
  <si>
    <t>주연료의 38%</t>
  </si>
  <si>
    <t>유압식백호</t>
  </si>
  <si>
    <t>hr</t>
  </si>
  <si>
    <t>주연료의 22%</t>
  </si>
  <si>
    <t>표준구간의 50%</t>
  </si>
  <si>
    <t>2Way레일 라운드레일</t>
  </si>
  <si>
    <t>350X965X4.0t</t>
  </si>
  <si>
    <t xml:space="preserve">3. 단부(표준형 H775 노측용) 설치공사 "개소"당 (성토부 비탈면 구간) </t>
  </si>
  <si>
    <t>Φ139.8X4.5tX2200</t>
  </si>
  <si>
    <t>0.001W% S</t>
  </si>
  <si>
    <t>l</t>
  </si>
  <si>
    <t>일</t>
  </si>
  <si>
    <t>아연도금 또는 분체도장 가능 (선택사항)</t>
  </si>
  <si>
    <t>연도</t>
  </si>
  <si>
    <t>페이지</t>
  </si>
  <si>
    <t>페이지</t>
  </si>
  <si>
    <t>규격</t>
  </si>
  <si>
    <t>특별인부</t>
  </si>
  <si>
    <t>보통인부</t>
  </si>
  <si>
    <t>철골공</t>
  </si>
  <si>
    <t>일반기계운전사</t>
  </si>
  <si>
    <t xml:space="preserve"> 정도산업㈜ </t>
  </si>
  <si>
    <t>1577-8549</t>
  </si>
  <si>
    <t>덤프트럭</t>
  </si>
  <si>
    <t>규격</t>
  </si>
  <si>
    <t>경    비</t>
  </si>
  <si>
    <t>금  액</t>
  </si>
  <si>
    <t>단  가</t>
  </si>
  <si>
    <t>1. 표준형가드레일[2WAY] -노측용 (H775 × W2000 - SB4, 무등급 보강형) 설치공사 "경간"당 (성토부 비탈면 구간)</t>
  </si>
  <si>
    <t>/  2m  =</t>
  </si>
  <si>
    <t>거래가격</t>
  </si>
  <si>
    <t>발전기</t>
  </si>
  <si>
    <t xml:space="preserve"> * 건설표준품셈</t>
  </si>
  <si>
    <t xml:space="preserve"> * 거래가격</t>
  </si>
  <si>
    <t>코어드릴</t>
  </si>
  <si>
    <t>굴삭기</t>
  </si>
  <si>
    <t xml:space="preserve"> * 노임단가</t>
  </si>
  <si>
    <t xml:space="preserve"> * 장비단가</t>
  </si>
  <si>
    <t>공종</t>
  </si>
  <si>
    <t>주연료(l/hr)</t>
  </si>
  <si>
    <t>잡재료(%)</t>
  </si>
  <si>
    <t>장비가격(천원)</t>
  </si>
  <si>
    <t>손료</t>
  </si>
  <si>
    <t>대형브레이커</t>
  </si>
  <si>
    <t>연도</t>
  </si>
  <si>
    <t>건설기계운전사</t>
  </si>
  <si>
    <t xml:space="preserve"> * 재료단가</t>
  </si>
  <si>
    <t>월</t>
  </si>
  <si>
    <t>물가지</t>
  </si>
  <si>
    <t>재료명</t>
  </si>
  <si>
    <t>금액</t>
  </si>
  <si>
    <t>거래가격</t>
  </si>
  <si>
    <t>3단코어비트</t>
  </si>
  <si>
    <t>중분대 항타용</t>
  </si>
  <si>
    <t>비트+튜브+커플링</t>
  </si>
  <si>
    <t>옹벽용</t>
  </si>
  <si>
    <t>거래가격</t>
  </si>
  <si>
    <t>경유</t>
  </si>
  <si>
    <t>0.001W% S</t>
  </si>
  <si>
    <t>691,712,730</t>
  </si>
  <si>
    <t>681,727</t>
  </si>
  <si>
    <t>651,702,718</t>
  </si>
  <si>
    <t>652,718</t>
  </si>
  <si>
    <t>655,703,719</t>
  </si>
  <si>
    <t>2022.1.1기준</t>
  </si>
  <si>
    <t>2022.1.1기준</t>
  </si>
  <si>
    <t>2022년  월  일</t>
  </si>
</sst>
</file>

<file path=xl/styles.xml><?xml version="1.0" encoding="utf-8"?>
<styleSheet xmlns="http://schemas.openxmlformats.org/spreadsheetml/2006/main">
  <numFmts count="5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  <numFmt numFmtId="179" formatCode="_ * #,##0_ ;_ * \-#,##0_ ;_ * &quot;-&quot;_ ;_ @_ "/>
    <numFmt numFmtId="180" formatCode="_ * #,##0.00_ ;_ * \-#,##0.00_ ;_ * &quot;-&quot;??_ ;_ @_ "/>
    <numFmt numFmtId="181" formatCode="_-* #,##0_-;\-* #,##0_-;_-* &quot;-&quot;??_-;_-@_-"/>
    <numFmt numFmtId="182" formatCode="#,##0.00##;[Red]&quot;△&quot;#,##0.00##"/>
    <numFmt numFmtId="183" formatCode="#,##0.####;[Red]&quot;△&quot;#,##0.####"/>
    <numFmt numFmtId="184" formatCode="#,##0&quot; &quot;;[Red]&quot;△&quot;#,##0&quot; &quot;"/>
    <numFmt numFmtId="185" formatCode="* #,##0&quot; &quot;;[Red]* &quot;△&quot;#,##0&quot; &quot;;* @"/>
    <numFmt numFmtId="186" formatCode="_-* #,##0.0_-;\-* #,##0.0_-;_-* &quot;-&quot;?_-;_-@_-"/>
    <numFmt numFmtId="187" formatCode="_-* #,##0.000_-;\-* #,##0.000_-;_-* &quot;-&quot;???_-;_-@_-"/>
    <numFmt numFmtId="188" formatCode="#,##0_ "/>
    <numFmt numFmtId="189" formatCode="0,000\ "/>
    <numFmt numFmtId="190" formatCode="000\-000"/>
    <numFmt numFmtId="191" formatCode="0.000_);[Red]\(0.000\)"/>
    <numFmt numFmtId="192" formatCode="0.000_ "/>
    <numFmt numFmtId="193" formatCode="#,##0.00_ "/>
    <numFmt numFmtId="194" formatCode="#,##0;[Red]#,##0"/>
    <numFmt numFmtId="195" formatCode="#,##0_);\(#,##0\)"/>
    <numFmt numFmtId="196" formatCode="mm&quot;월&quot;\ dd&quot;일&quot;"/>
    <numFmt numFmtId="197" formatCode="#,##0.000_ "/>
    <numFmt numFmtId="198" formatCode="#,##0.000_);[Red]\(#,##0.000\)"/>
    <numFmt numFmtId="199" formatCode="#,##0_);[Red]\(#,##0\)"/>
    <numFmt numFmtId="200" formatCode="_-* #,##0.000000_-;\-* #,##0.000000_-;_-* &quot;-&quot;??????_-;_-@_-"/>
    <numFmt numFmtId="201" formatCode="_-* #,##0.0000_-;\-* #,##0.0000_-;_-* &quot;-&quot;????_-;_-@_-"/>
    <numFmt numFmtId="202" formatCode="_-* #,##0.00000000_-;\-* #,##0.00000000_-;_-* &quot;-&quot;????????_-;_-@_-"/>
    <numFmt numFmtId="203" formatCode="0.00_ "/>
    <numFmt numFmtId="204" formatCode="0.0_);[Red]\(0.0\)"/>
    <numFmt numFmtId="205" formatCode="0.0"/>
    <numFmt numFmtId="206" formatCode="0.000"/>
    <numFmt numFmtId="207" formatCode="0.0%"/>
    <numFmt numFmtId="208" formatCode="0.0_ "/>
    <numFmt numFmtId="209" formatCode="0.0000_ "/>
    <numFmt numFmtId="210" formatCode="0.0;[Red]0.0"/>
    <numFmt numFmtId="211" formatCode="[$-412]yyyy&quot;년&quot;\ m&quot;월&quot;\ d&quot;일&quot;\ dddd"/>
    <numFmt numFmtId="212" formatCode="[$-412]AM/PM\ h:mm:ss"/>
    <numFmt numFmtId="213" formatCode="_-&quot;₩&quot;* #,##0.000_-;\-&quot;₩&quot;* #,##0.000_-;_-&quot;₩&quot;* &quot;-&quot;???_-;_-@_-"/>
    <numFmt numFmtId="214" formatCode="0&quot; kw&quot;"/>
    <numFmt numFmtId="215" formatCode="#,###,"/>
    <numFmt numFmtId="216" formatCode="0&quot; inch&quot;"/>
    <numFmt numFmtId="217" formatCode="0.0\ &quot;㎥&quot;"/>
    <numFmt numFmtId="218" formatCode="0.0\ &quot;ton&quot;"/>
  </numFmts>
  <fonts count="69">
    <font>
      <sz val="11"/>
      <name val="돋움"/>
      <family val="3"/>
    </font>
    <font>
      <b/>
      <sz val="11"/>
      <name val="굴림"/>
      <family val="3"/>
    </font>
    <font>
      <sz val="8"/>
      <name val="돋움"/>
      <family val="3"/>
    </font>
    <font>
      <sz val="11"/>
      <name val="µ¸¿ò"/>
      <family val="3"/>
    </font>
    <font>
      <b/>
      <sz val="10"/>
      <name val="굴림"/>
      <family val="3"/>
    </font>
    <font>
      <sz val="10"/>
      <name val="굴림"/>
      <family val="3"/>
    </font>
    <font>
      <sz val="8"/>
      <name val="굴림"/>
      <family val="3"/>
    </font>
    <font>
      <sz val="10"/>
      <name val="돋움"/>
      <family val="3"/>
    </font>
    <font>
      <u val="single"/>
      <sz val="10"/>
      <color indexed="36"/>
      <name val="굴림"/>
      <family val="3"/>
    </font>
    <font>
      <sz val="12"/>
      <name val="바탕체"/>
      <family val="1"/>
    </font>
    <font>
      <sz val="10"/>
      <name val="MS Sans Serif"/>
      <family val="2"/>
    </font>
    <font>
      <u val="single"/>
      <sz val="10"/>
      <color indexed="12"/>
      <name val="굴림"/>
      <family val="3"/>
    </font>
    <font>
      <b/>
      <sz val="12"/>
      <name val="Arial"/>
      <family val="2"/>
    </font>
    <font>
      <sz val="11"/>
      <name val="굴림"/>
      <family val="3"/>
    </font>
    <font>
      <sz val="9"/>
      <name val="굴림"/>
      <family val="3"/>
    </font>
    <font>
      <sz val="10"/>
      <name val="CommercialScript BT"/>
      <family val="4"/>
    </font>
    <font>
      <sz val="10"/>
      <name val="굴림체"/>
      <family val="3"/>
    </font>
    <font>
      <sz val="11"/>
      <name val="굴림체"/>
      <family val="3"/>
    </font>
    <font>
      <b/>
      <sz val="20"/>
      <name val="굴림체"/>
      <family val="3"/>
    </font>
    <font>
      <b/>
      <sz val="10"/>
      <name val="굴림체"/>
      <family val="3"/>
    </font>
    <font>
      <b/>
      <sz val="11"/>
      <color indexed="48"/>
      <name val="굴림"/>
      <family val="3"/>
    </font>
    <font>
      <b/>
      <sz val="12"/>
      <color indexed="48"/>
      <name val="굴림체"/>
      <family val="3"/>
    </font>
    <font>
      <vertAlign val="superscript"/>
      <sz val="10"/>
      <name val="굴림"/>
      <family val="3"/>
    </font>
    <font>
      <b/>
      <vertAlign val="superscript"/>
      <sz val="10"/>
      <name val="굴림"/>
      <family val="3"/>
    </font>
    <font>
      <sz val="6"/>
      <name val="굴림"/>
      <family val="3"/>
    </font>
    <font>
      <sz val="8"/>
      <color indexed="8"/>
      <name val="굴림"/>
      <family val="3"/>
    </font>
    <font>
      <sz val="8"/>
      <name val="맑은 고딕"/>
      <family val="3"/>
    </font>
    <font>
      <b/>
      <sz val="10"/>
      <name val="함초롬돋움"/>
      <family val="3"/>
    </font>
    <font>
      <sz val="10"/>
      <name val="함초롬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함초롬돋움"/>
      <family val="3"/>
    </font>
    <font>
      <b/>
      <sz val="10"/>
      <color indexed="8"/>
      <name val="함초롬돋움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함초롬돋움"/>
      <family val="3"/>
    </font>
    <font>
      <b/>
      <sz val="10"/>
      <color theme="1"/>
      <name val="함초롬돋움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" fillId="0" borderId="0">
      <alignment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3" applyNumberFormat="0" applyAlignment="0" applyProtection="0"/>
    <xf numFmtId="0" fontId="53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1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26" borderId="11" applyNumberFormat="0" applyAlignment="0" applyProtection="0"/>
    <xf numFmtId="179" fontId="9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0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41" fontId="6" fillId="0" borderId="0" xfId="51" applyFont="1" applyBorder="1" applyAlignment="1">
      <alignment vertical="center"/>
    </xf>
    <xf numFmtId="0" fontId="4" fillId="0" borderId="0" xfId="78" applyNumberFormat="1" applyFont="1" applyBorder="1" applyAlignment="1">
      <alignment horizontal="left" vertical="center"/>
      <protection/>
    </xf>
    <xf numFmtId="0" fontId="6" fillId="0" borderId="0" xfId="78" applyFont="1" applyBorder="1" applyAlignment="1">
      <alignment vertical="center"/>
      <protection/>
    </xf>
    <xf numFmtId="0" fontId="6" fillId="0" borderId="0" xfId="78" applyFont="1" applyBorder="1" applyAlignment="1">
      <alignment horizontal="left" vertical="center"/>
      <protection/>
    </xf>
    <xf numFmtId="0" fontId="6" fillId="0" borderId="0" xfId="78" applyFont="1" applyBorder="1" applyAlignment="1">
      <alignment horizontal="center" vertical="center"/>
      <protection/>
    </xf>
    <xf numFmtId="0" fontId="5" fillId="0" borderId="0" xfId="78" applyFont="1" applyBorder="1" applyAlignment="1">
      <alignment vertical="center"/>
      <protection/>
    </xf>
    <xf numFmtId="0" fontId="1" fillId="0" borderId="0" xfId="78" applyFont="1" applyBorder="1" applyAlignment="1">
      <alignment vertical="center"/>
      <protection/>
    </xf>
    <xf numFmtId="41" fontId="5" fillId="0" borderId="12" xfId="5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NumberFormat="1" applyFont="1" applyBorder="1" applyAlignment="1">
      <alignment vertical="center" shrinkToFi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88" fontId="5" fillId="0" borderId="12" xfId="51" applyNumberFormat="1" applyFont="1" applyBorder="1" applyAlignment="1">
      <alignment vertical="center"/>
    </xf>
    <xf numFmtId="41" fontId="4" fillId="0" borderId="12" xfId="51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shrinkToFit="1"/>
    </xf>
    <xf numFmtId="0" fontId="14" fillId="0" borderId="0" xfId="78" applyFont="1" applyBorder="1" applyAlignment="1">
      <alignment vertical="center"/>
      <protection/>
    </xf>
    <xf numFmtId="0" fontId="13" fillId="0" borderId="0" xfId="78" applyFont="1" applyBorder="1" applyAlignment="1">
      <alignment vertical="center"/>
      <protection/>
    </xf>
    <xf numFmtId="178" fontId="16" fillId="0" borderId="14" xfId="79" applyNumberFormat="1" applyFont="1" applyBorder="1" applyAlignment="1">
      <alignment horizontal="centerContinuous" vertical="center"/>
      <protection/>
    </xf>
    <xf numFmtId="41" fontId="16" fillId="0" borderId="15" xfId="51" applyFont="1" applyBorder="1" applyAlignment="1">
      <alignment horizontal="centerContinuous" vertical="center"/>
    </xf>
    <xf numFmtId="41" fontId="16" fillId="0" borderId="16" xfId="51" applyFont="1" applyBorder="1" applyAlignment="1">
      <alignment horizontal="centerContinuous" vertical="center"/>
    </xf>
    <xf numFmtId="41" fontId="16" fillId="0" borderId="17" xfId="51" applyFont="1" applyBorder="1" applyAlignment="1">
      <alignment horizontal="centerContinuous" vertical="center"/>
    </xf>
    <xf numFmtId="178" fontId="16" fillId="0" borderId="17" xfId="79" applyNumberFormat="1" applyFont="1" applyBorder="1" applyAlignment="1">
      <alignment horizontal="centerContinuous" vertical="center"/>
      <protection/>
    </xf>
    <xf numFmtId="41" fontId="16" fillId="0" borderId="18" xfId="51" applyFont="1" applyBorder="1" applyAlignment="1">
      <alignment horizontal="centerContinuous" vertical="center"/>
    </xf>
    <xf numFmtId="41" fontId="16" fillId="0" borderId="18" xfId="51" applyFont="1" applyBorder="1" applyAlignment="1">
      <alignment horizontal="center" vertical="center"/>
    </xf>
    <xf numFmtId="41" fontId="16" fillId="0" borderId="18" xfId="51" applyFont="1" applyBorder="1" applyAlignment="1">
      <alignment horizontal="right" vertical="center"/>
    </xf>
    <xf numFmtId="41" fontId="16" fillId="0" borderId="19" xfId="51" applyFont="1" applyBorder="1" applyAlignment="1">
      <alignment horizontal="center" vertical="center"/>
    </xf>
    <xf numFmtId="41" fontId="17" fillId="0" borderId="0" xfId="51" applyFont="1" applyBorder="1" applyAlignment="1">
      <alignment horizontal="center" vertical="center"/>
    </xf>
    <xf numFmtId="178" fontId="17" fillId="0" borderId="0" xfId="79" applyNumberFormat="1" applyFont="1" applyBorder="1" applyAlignment="1">
      <alignment horizontal="center" vertical="center"/>
      <protection/>
    </xf>
    <xf numFmtId="41" fontId="16" fillId="0" borderId="12" xfId="51" applyFont="1" applyBorder="1" applyAlignment="1">
      <alignment horizontal="center" vertical="center"/>
    </xf>
    <xf numFmtId="41" fontId="16" fillId="0" borderId="12" xfId="51" applyFont="1" applyBorder="1" applyAlignment="1">
      <alignment horizontal="right" vertical="center"/>
    </xf>
    <xf numFmtId="41" fontId="16" fillId="0" borderId="20" xfId="51" applyFont="1" applyBorder="1" applyAlignment="1">
      <alignment horizontal="right" vertical="center"/>
    </xf>
    <xf numFmtId="178" fontId="18" fillId="0" borderId="21" xfId="79" applyNumberFormat="1" applyFont="1" applyBorder="1" applyAlignment="1">
      <alignment horizontal="center"/>
      <protection/>
    </xf>
    <xf numFmtId="178" fontId="18" fillId="0" borderId="0" xfId="79" applyNumberFormat="1" applyFont="1" applyBorder="1" applyAlignment="1">
      <alignment horizontal="center"/>
      <protection/>
    </xf>
    <xf numFmtId="178" fontId="18" fillId="0" borderId="22" xfId="79" applyNumberFormat="1" applyFont="1" applyBorder="1" applyAlignment="1">
      <alignment horizontal="center"/>
      <protection/>
    </xf>
    <xf numFmtId="178" fontId="18" fillId="0" borderId="23" xfId="79" applyNumberFormat="1" applyFont="1" applyBorder="1" applyAlignment="1">
      <alignment horizontal="center"/>
      <protection/>
    </xf>
    <xf numFmtId="178" fontId="17" fillId="0" borderId="21" xfId="79" applyNumberFormat="1" applyFont="1" applyBorder="1" applyAlignment="1">
      <alignment horizontal="center" vertical="center"/>
      <protection/>
    </xf>
    <xf numFmtId="41" fontId="17" fillId="0" borderId="23" xfId="5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5" fillId="0" borderId="20" xfId="51" applyFont="1" applyBorder="1" applyAlignment="1">
      <alignment vertical="center"/>
    </xf>
    <xf numFmtId="41" fontId="4" fillId="0" borderId="20" xfId="5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1" fontId="5" fillId="0" borderId="0" xfId="78" applyNumberFormat="1" applyFont="1" applyBorder="1" applyAlignment="1">
      <alignment vertical="center"/>
      <protection/>
    </xf>
    <xf numFmtId="49" fontId="6" fillId="0" borderId="20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 shrinkToFit="1"/>
    </xf>
    <xf numFmtId="0" fontId="6" fillId="0" borderId="20" xfId="51" applyNumberFormat="1" applyFont="1" applyBorder="1" applyAlignment="1">
      <alignment vertical="center"/>
    </xf>
    <xf numFmtId="43" fontId="5" fillId="0" borderId="0" xfId="78" applyNumberFormat="1" applyFont="1" applyBorder="1" applyAlignment="1">
      <alignment vertical="center"/>
      <protection/>
    </xf>
    <xf numFmtId="0" fontId="5" fillId="0" borderId="12" xfId="78" applyFont="1" applyBorder="1" applyAlignment="1">
      <alignment vertical="center"/>
      <protection/>
    </xf>
    <xf numFmtId="10" fontId="5" fillId="0" borderId="20" xfId="51" applyNumberFormat="1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center" vertical="center"/>
    </xf>
    <xf numFmtId="41" fontId="5" fillId="0" borderId="12" xfId="51" applyFont="1" applyFill="1" applyBorder="1" applyAlignment="1">
      <alignment vertical="center"/>
    </xf>
    <xf numFmtId="210" fontId="5" fillId="0" borderId="12" xfId="0" applyNumberFormat="1" applyFont="1" applyFill="1" applyBorder="1" applyAlignment="1">
      <alignment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3" fillId="0" borderId="20" xfId="78" applyFont="1" applyBorder="1" applyAlignment="1">
      <alignment vertical="center"/>
      <protection/>
    </xf>
    <xf numFmtId="0" fontId="5" fillId="0" borderId="13" xfId="0" applyFont="1" applyFill="1" applyBorder="1" applyAlignment="1">
      <alignment vertical="center"/>
    </xf>
    <xf numFmtId="49" fontId="5" fillId="0" borderId="20" xfId="76" applyNumberFormat="1" applyFont="1" applyBorder="1" applyAlignment="1">
      <alignment horizontal="left" vertical="center"/>
      <protection/>
    </xf>
    <xf numFmtId="0" fontId="5" fillId="0" borderId="20" xfId="78" applyFont="1" applyBorder="1" applyAlignment="1">
      <alignment vertical="center"/>
      <protection/>
    </xf>
    <xf numFmtId="0" fontId="4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41" fontId="4" fillId="0" borderId="12" xfId="51" applyFont="1" applyFill="1" applyBorder="1" applyAlignment="1">
      <alignment vertical="center"/>
    </xf>
    <xf numFmtId="0" fontId="6" fillId="0" borderId="20" xfId="78" applyFont="1" applyFill="1" applyBorder="1" applyAlignment="1">
      <alignment vertical="center"/>
      <protection/>
    </xf>
    <xf numFmtId="187" fontId="20" fillId="0" borderId="0" xfId="0" applyNumberFormat="1" applyFont="1" applyBorder="1" applyAlignment="1">
      <alignment horizontal="left" vertical="center"/>
    </xf>
    <xf numFmtId="187" fontId="5" fillId="0" borderId="0" xfId="51" applyNumberFormat="1" applyFont="1" applyBorder="1" applyAlignment="1">
      <alignment horizontal="left" vertical="center"/>
    </xf>
    <xf numFmtId="187" fontId="4" fillId="0" borderId="0" xfId="0" applyNumberFormat="1" applyFont="1" applyBorder="1" applyAlignment="1">
      <alignment horizontal="left" vertical="center"/>
    </xf>
    <xf numFmtId="187" fontId="5" fillId="0" borderId="0" xfId="51" applyNumberFormat="1" applyFont="1" applyBorder="1" applyAlignment="1">
      <alignment vertical="center"/>
    </xf>
    <xf numFmtId="187" fontId="4" fillId="0" borderId="0" xfId="51" applyNumberFormat="1" applyFont="1" applyBorder="1" applyAlignment="1">
      <alignment horizontal="left" vertical="center"/>
    </xf>
    <xf numFmtId="187" fontId="6" fillId="0" borderId="0" xfId="0" applyNumberFormat="1" applyFont="1" applyBorder="1" applyAlignment="1">
      <alignment horizontal="left" vertical="center"/>
    </xf>
    <xf numFmtId="187" fontId="6" fillId="0" borderId="0" xfId="0" applyNumberFormat="1" applyFont="1" applyBorder="1" applyAlignment="1">
      <alignment horizontal="left" vertical="center" shrinkToFit="1"/>
    </xf>
    <xf numFmtId="187" fontId="24" fillId="0" borderId="0" xfId="0" applyNumberFormat="1" applyFont="1" applyBorder="1" applyAlignment="1">
      <alignment horizontal="left" vertical="center" wrapText="1" shrinkToFit="1"/>
    </xf>
    <xf numFmtId="187" fontId="1" fillId="0" borderId="0" xfId="0" applyNumberFormat="1" applyFont="1" applyBorder="1" applyAlignment="1">
      <alignment horizontal="left" vertical="center"/>
    </xf>
    <xf numFmtId="187" fontId="6" fillId="0" borderId="0" xfId="51" applyNumberFormat="1" applyFont="1" applyBorder="1" applyAlignment="1">
      <alignment horizontal="left" vertical="center"/>
    </xf>
    <xf numFmtId="0" fontId="5" fillId="0" borderId="12" xfId="77" applyFont="1" applyBorder="1" applyAlignment="1">
      <alignment horizontal="left" vertical="center" shrinkToFit="1"/>
      <protection/>
    </xf>
    <xf numFmtId="0" fontId="5" fillId="0" borderId="12" xfId="77" applyFont="1" applyBorder="1" applyAlignment="1">
      <alignment vertical="center"/>
      <protection/>
    </xf>
    <xf numFmtId="0" fontId="5" fillId="0" borderId="12" xfId="77" applyFont="1" applyBorder="1" applyAlignment="1">
      <alignment horizontal="center" vertical="center"/>
      <protection/>
    </xf>
    <xf numFmtId="0" fontId="5" fillId="0" borderId="0" xfId="78" applyFont="1" applyFill="1" applyBorder="1" applyAlignment="1">
      <alignment vertical="center"/>
      <protection/>
    </xf>
    <xf numFmtId="0" fontId="15" fillId="0" borderId="12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left" vertical="center" wrapText="1"/>
    </xf>
    <xf numFmtId="0" fontId="6" fillId="0" borderId="0" xfId="78" applyFont="1" applyFill="1" applyBorder="1" applyAlignment="1">
      <alignment horizontal="center" vertical="center"/>
      <protection/>
    </xf>
    <xf numFmtId="0" fontId="25" fillId="0" borderId="20" xfId="78" applyFont="1" applyBorder="1" applyAlignment="1">
      <alignment vertical="center"/>
      <protection/>
    </xf>
    <xf numFmtId="0" fontId="6" fillId="0" borderId="0" xfId="78" applyFont="1" applyFill="1" applyBorder="1" applyAlignment="1">
      <alignment vertical="center"/>
      <protection/>
    </xf>
    <xf numFmtId="206" fontId="5" fillId="0" borderId="12" xfId="0" applyNumberFormat="1" applyFont="1" applyBorder="1" applyAlignment="1">
      <alignment vertical="center" shrinkToFit="1"/>
    </xf>
    <xf numFmtId="49" fontId="6" fillId="0" borderId="20" xfId="0" applyNumberFormat="1" applyFont="1" applyBorder="1" applyAlignment="1">
      <alignment horizontal="left" vertical="center" shrinkToFit="1"/>
    </xf>
    <xf numFmtId="0" fontId="6" fillId="0" borderId="20" xfId="77" applyFont="1" applyBorder="1" applyAlignment="1">
      <alignment horizontal="left" vertical="center" wrapText="1"/>
      <protection/>
    </xf>
    <xf numFmtId="41" fontId="5" fillId="0" borderId="12" xfId="51" applyFont="1" applyBorder="1" applyAlignment="1">
      <alignment horizontal="center" vertical="center"/>
    </xf>
    <xf numFmtId="0" fontId="5" fillId="0" borderId="13" xfId="77" applyFont="1" applyBorder="1" applyAlignment="1">
      <alignment vertical="center"/>
      <protection/>
    </xf>
    <xf numFmtId="0" fontId="5" fillId="0" borderId="13" xfId="77" applyFont="1" applyFill="1" applyBorder="1" applyAlignment="1">
      <alignment vertical="center"/>
      <protection/>
    </xf>
    <xf numFmtId="0" fontId="5" fillId="0" borderId="24" xfId="77" applyFont="1" applyBorder="1" applyAlignment="1">
      <alignment vertical="center"/>
      <protection/>
    </xf>
    <xf numFmtId="0" fontId="5" fillId="0" borderId="25" xfId="77" applyFont="1" applyBorder="1" applyAlignment="1">
      <alignment horizontal="left" vertical="center" shrinkToFit="1"/>
      <protection/>
    </xf>
    <xf numFmtId="0" fontId="5" fillId="0" borderId="25" xfId="77" applyFont="1" applyBorder="1" applyAlignment="1">
      <alignment vertical="center"/>
      <protection/>
    </xf>
    <xf numFmtId="0" fontId="5" fillId="0" borderId="25" xfId="77" applyFont="1" applyBorder="1" applyAlignment="1">
      <alignment horizontal="center" vertical="center"/>
      <protection/>
    </xf>
    <xf numFmtId="41" fontId="5" fillId="0" borderId="25" xfId="51" applyFont="1" applyBorder="1" applyAlignment="1">
      <alignment vertical="center"/>
    </xf>
    <xf numFmtId="0" fontId="5" fillId="0" borderId="26" xfId="78" applyFont="1" applyBorder="1" applyAlignment="1">
      <alignment vertical="center"/>
      <protection/>
    </xf>
    <xf numFmtId="0" fontId="5" fillId="0" borderId="13" xfId="0" applyNumberFormat="1" applyFont="1" applyBorder="1" applyAlignment="1">
      <alignment vertical="center" shrinkToFi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/>
    </xf>
    <xf numFmtId="41" fontId="1" fillId="0" borderId="25" xfId="0" applyNumberFormat="1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41" fontId="4" fillId="0" borderId="25" xfId="51" applyFont="1" applyBorder="1" applyAlignment="1">
      <alignment vertical="center"/>
    </xf>
    <xf numFmtId="41" fontId="4" fillId="0" borderId="26" xfId="51" applyFont="1" applyBorder="1" applyAlignment="1">
      <alignment vertical="center"/>
    </xf>
    <xf numFmtId="49" fontId="6" fillId="0" borderId="12" xfId="0" applyNumberFormat="1" applyFont="1" applyBorder="1" applyAlignment="1">
      <alignment horizontal="left" vertical="center" wrapText="1"/>
    </xf>
    <xf numFmtId="203" fontId="5" fillId="0" borderId="12" xfId="0" applyNumberFormat="1" applyFont="1" applyBorder="1" applyAlignment="1">
      <alignment vertical="center"/>
    </xf>
    <xf numFmtId="0" fontId="5" fillId="0" borderId="12" xfId="0" applyNumberFormat="1" applyFont="1" applyFill="1" applyBorder="1" applyAlignment="1">
      <alignment vertical="center" shrinkToFit="1"/>
    </xf>
    <xf numFmtId="187" fontId="5" fillId="0" borderId="0" xfId="51" applyNumberFormat="1" applyFont="1" applyFill="1" applyBorder="1" applyAlignment="1">
      <alignment horizontal="left" vertical="center"/>
    </xf>
    <xf numFmtId="41" fontId="5" fillId="0" borderId="0" xfId="78" applyNumberFormat="1" applyFont="1" applyFill="1" applyBorder="1" applyAlignment="1">
      <alignment vertical="center"/>
      <protection/>
    </xf>
    <xf numFmtId="0" fontId="6" fillId="0" borderId="20" xfId="51" applyNumberFormat="1" applyFont="1" applyFill="1" applyBorder="1" applyAlignment="1">
      <alignment vertical="center"/>
    </xf>
    <xf numFmtId="208" fontId="5" fillId="0" borderId="12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10" fontId="6" fillId="0" borderId="20" xfId="77" applyNumberFormat="1" applyFont="1" applyBorder="1" applyAlignment="1">
      <alignment horizontal="left" vertical="center" wrapText="1"/>
      <protection/>
    </xf>
    <xf numFmtId="0" fontId="49" fillId="0" borderId="0" xfId="74">
      <alignment vertical="center"/>
      <protection/>
    </xf>
    <xf numFmtId="0" fontId="66" fillId="0" borderId="13" xfId="74" applyFont="1" applyBorder="1" applyAlignment="1">
      <alignment horizontal="center" vertical="center"/>
      <protection/>
    </xf>
    <xf numFmtId="0" fontId="66" fillId="0" borderId="24" xfId="74" applyFont="1" applyBorder="1" applyAlignment="1">
      <alignment horizontal="center" vertical="center"/>
      <protection/>
    </xf>
    <xf numFmtId="0" fontId="66" fillId="0" borderId="26" xfId="74" applyFont="1" applyBorder="1" applyAlignment="1">
      <alignment horizontal="center" vertical="center"/>
      <protection/>
    </xf>
    <xf numFmtId="0" fontId="66" fillId="0" borderId="0" xfId="74" applyFont="1">
      <alignment vertical="center"/>
      <protection/>
    </xf>
    <xf numFmtId="214" fontId="66" fillId="0" borderId="12" xfId="74" applyNumberFormat="1" applyFont="1" applyBorder="1" applyAlignment="1">
      <alignment horizontal="center" vertical="center"/>
      <protection/>
    </xf>
    <xf numFmtId="215" fontId="66" fillId="0" borderId="12" xfId="74" applyNumberFormat="1" applyFont="1" applyBorder="1" applyAlignment="1">
      <alignment horizontal="center" vertical="center"/>
      <protection/>
    </xf>
    <xf numFmtId="3" fontId="66" fillId="0" borderId="12" xfId="74" applyNumberFormat="1" applyFont="1" applyBorder="1" applyAlignment="1">
      <alignment horizontal="center" vertical="center"/>
      <protection/>
    </xf>
    <xf numFmtId="11" fontId="66" fillId="0" borderId="20" xfId="74" applyNumberFormat="1" applyFont="1" applyBorder="1" applyAlignment="1">
      <alignment horizontal="center" vertical="center"/>
      <protection/>
    </xf>
    <xf numFmtId="216" fontId="66" fillId="0" borderId="12" xfId="74" applyNumberFormat="1" applyFont="1" applyBorder="1" applyAlignment="1">
      <alignment horizontal="center" vertical="center"/>
      <protection/>
    </xf>
    <xf numFmtId="217" fontId="66" fillId="0" borderId="12" xfId="74" applyNumberFormat="1" applyFont="1" applyBorder="1" applyAlignment="1">
      <alignment horizontal="center" vertical="center"/>
      <protection/>
    </xf>
    <xf numFmtId="0" fontId="66" fillId="0" borderId="25" xfId="74" applyFont="1" applyBorder="1" applyAlignment="1">
      <alignment horizontal="center" vertical="center"/>
      <protection/>
    </xf>
    <xf numFmtId="218" fontId="66" fillId="0" borderId="25" xfId="74" applyNumberFormat="1" applyFont="1" applyBorder="1" applyAlignment="1">
      <alignment horizontal="center" vertical="center"/>
      <protection/>
    </xf>
    <xf numFmtId="215" fontId="66" fillId="0" borderId="25" xfId="74" applyNumberFormat="1" applyFont="1" applyBorder="1" applyAlignment="1">
      <alignment horizontal="center" vertical="center"/>
      <protection/>
    </xf>
    <xf numFmtId="3" fontId="66" fillId="0" borderId="25" xfId="74" applyNumberFormat="1" applyFont="1" applyBorder="1" applyAlignment="1">
      <alignment horizontal="center" vertical="center"/>
      <protection/>
    </xf>
    <xf numFmtId="11" fontId="66" fillId="0" borderId="26" xfId="74" applyNumberFormat="1" applyFont="1" applyBorder="1" applyAlignment="1">
      <alignment horizontal="center" vertical="center"/>
      <protection/>
    </xf>
    <xf numFmtId="0" fontId="28" fillId="0" borderId="13" xfId="77" applyFont="1" applyBorder="1" applyAlignment="1">
      <alignment vertical="center"/>
      <protection/>
    </xf>
    <xf numFmtId="0" fontId="28" fillId="0" borderId="12" xfId="77" applyFont="1" applyBorder="1" applyAlignment="1">
      <alignment horizontal="center" vertical="center" shrinkToFit="1"/>
      <protection/>
    </xf>
    <xf numFmtId="0" fontId="28" fillId="0" borderId="12" xfId="77" applyFont="1" applyBorder="1" applyAlignment="1">
      <alignment vertical="center"/>
      <protection/>
    </xf>
    <xf numFmtId="0" fontId="28" fillId="0" borderId="12" xfId="77" applyFont="1" applyBorder="1" applyAlignment="1">
      <alignment horizontal="center" vertical="center"/>
      <protection/>
    </xf>
    <xf numFmtId="41" fontId="28" fillId="0" borderId="20" xfId="53" applyFont="1" applyBorder="1" applyAlignment="1">
      <alignment vertical="center"/>
    </xf>
    <xf numFmtId="0" fontId="0" fillId="0" borderId="0" xfId="75">
      <alignment/>
      <protection/>
    </xf>
    <xf numFmtId="0" fontId="28" fillId="0" borderId="24" xfId="77" applyFont="1" applyFill="1" applyBorder="1" applyAlignment="1">
      <alignment vertical="center"/>
      <protection/>
    </xf>
    <xf numFmtId="0" fontId="28" fillId="0" borderId="25" xfId="77" applyFont="1" applyBorder="1" applyAlignment="1">
      <alignment horizontal="center" vertical="center" shrinkToFit="1"/>
      <protection/>
    </xf>
    <xf numFmtId="0" fontId="28" fillId="0" borderId="25" xfId="77" applyFont="1" applyBorder="1" applyAlignment="1">
      <alignment vertical="center"/>
      <protection/>
    </xf>
    <xf numFmtId="0" fontId="28" fillId="0" borderId="25" xfId="77" applyFont="1" applyBorder="1" applyAlignment="1">
      <alignment horizontal="center" vertical="center"/>
      <protection/>
    </xf>
    <xf numFmtId="41" fontId="28" fillId="0" borderId="26" xfId="53" applyFont="1" applyBorder="1" applyAlignment="1">
      <alignment vertical="center"/>
    </xf>
    <xf numFmtId="0" fontId="67" fillId="0" borderId="27" xfId="74" applyFont="1" applyBorder="1" applyAlignment="1">
      <alignment vertical="center"/>
      <protection/>
    </xf>
    <xf numFmtId="0" fontId="67" fillId="0" borderId="18" xfId="74" applyFont="1" applyBorder="1" applyAlignment="1">
      <alignment vertical="center"/>
      <protection/>
    </xf>
    <xf numFmtId="0" fontId="67" fillId="0" borderId="19" xfId="74" applyFont="1" applyBorder="1" applyAlignment="1">
      <alignment vertical="center"/>
      <protection/>
    </xf>
    <xf numFmtId="0" fontId="28" fillId="0" borderId="12" xfId="77" applyFont="1" applyFill="1" applyBorder="1" applyAlignment="1">
      <alignment horizontal="center" vertical="center"/>
      <protection/>
    </xf>
    <xf numFmtId="0" fontId="68" fillId="0" borderId="12" xfId="74" applyFont="1" applyBorder="1" applyAlignment="1">
      <alignment horizontal="center" vertical="center"/>
      <protection/>
    </xf>
    <xf numFmtId="0" fontId="68" fillId="0" borderId="0" xfId="74" applyFont="1" applyAlignment="1">
      <alignment horizontal="center" vertical="center"/>
      <protection/>
    </xf>
    <xf numFmtId="0" fontId="68" fillId="0" borderId="25" xfId="74" applyFont="1" applyBorder="1" applyAlignment="1">
      <alignment horizontal="center" vertical="center"/>
      <protection/>
    </xf>
    <xf numFmtId="216" fontId="66" fillId="0" borderId="25" xfId="74" applyNumberFormat="1" applyFont="1" applyBorder="1" applyAlignment="1">
      <alignment horizontal="center" vertical="center"/>
      <protection/>
    </xf>
    <xf numFmtId="3" fontId="6" fillId="0" borderId="0" xfId="78" applyNumberFormat="1" applyFont="1" applyBorder="1" applyAlignment="1">
      <alignment horizontal="center" vertical="center"/>
      <protection/>
    </xf>
    <xf numFmtId="11" fontId="6" fillId="0" borderId="0" xfId="78" applyNumberFormat="1" applyFont="1" applyBorder="1" applyAlignment="1">
      <alignment horizontal="center" vertical="center"/>
      <protection/>
    </xf>
    <xf numFmtId="41" fontId="5" fillId="0" borderId="25" xfId="51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 shrinkToFit="1"/>
    </xf>
    <xf numFmtId="49" fontId="6" fillId="0" borderId="0" xfId="0" applyNumberFormat="1" applyFont="1" applyBorder="1" applyAlignment="1">
      <alignment horizontal="left" vertical="center" wrapText="1" shrinkToFit="1"/>
    </xf>
    <xf numFmtId="0" fontId="66" fillId="0" borderId="12" xfId="74" applyFont="1" applyBorder="1" applyAlignment="1">
      <alignment horizontal="center" vertical="center"/>
      <protection/>
    </xf>
    <xf numFmtId="0" fontId="66" fillId="0" borderId="20" xfId="74" applyFont="1" applyBorder="1" applyAlignment="1">
      <alignment horizontal="center" vertical="center"/>
      <protection/>
    </xf>
    <xf numFmtId="0" fontId="66" fillId="0" borderId="0" xfId="74" applyFont="1" applyBorder="1" applyAlignment="1">
      <alignment vertical="center"/>
      <protection/>
    </xf>
    <xf numFmtId="191" fontId="5" fillId="0" borderId="12" xfId="0" applyNumberFormat="1" applyFont="1" applyFill="1" applyBorder="1" applyAlignment="1">
      <alignment horizontal="right" vertical="center"/>
    </xf>
    <xf numFmtId="178" fontId="16" fillId="0" borderId="28" xfId="79" applyNumberFormat="1" applyFont="1" applyBorder="1" applyAlignment="1">
      <alignment horizontal="center" vertical="center"/>
      <protection/>
    </xf>
    <xf numFmtId="178" fontId="16" fillId="0" borderId="29" xfId="79" applyNumberFormat="1" applyFont="1" applyBorder="1" applyAlignment="1">
      <alignment horizontal="center" vertical="center"/>
      <protection/>
    </xf>
    <xf numFmtId="178" fontId="16" fillId="0" borderId="30" xfId="79" applyNumberFormat="1" applyFont="1" applyBorder="1" applyAlignment="1">
      <alignment horizontal="center" vertical="center"/>
      <protection/>
    </xf>
    <xf numFmtId="41" fontId="16" fillId="0" borderId="31" xfId="51" applyFont="1" applyBorder="1" applyAlignment="1">
      <alignment horizontal="center" vertical="center"/>
    </xf>
    <xf numFmtId="41" fontId="16" fillId="0" borderId="30" xfId="51" applyFont="1" applyBorder="1" applyAlignment="1">
      <alignment horizontal="center" vertical="center"/>
    </xf>
    <xf numFmtId="178" fontId="17" fillId="0" borderId="21" xfId="79" applyNumberFormat="1" applyFont="1" applyBorder="1" applyAlignment="1">
      <alignment horizontal="center" vertical="center"/>
      <protection/>
    </xf>
    <xf numFmtId="178" fontId="17" fillId="0" borderId="0" xfId="79" applyNumberFormat="1" applyFont="1" applyBorder="1" applyAlignment="1">
      <alignment horizontal="center" vertical="center"/>
      <protection/>
    </xf>
    <xf numFmtId="178" fontId="17" fillId="0" borderId="32" xfId="79" applyNumberFormat="1" applyFont="1" applyBorder="1" applyAlignment="1">
      <alignment horizontal="center" vertical="center"/>
      <protection/>
    </xf>
    <xf numFmtId="178" fontId="17" fillId="0" borderId="33" xfId="79" applyNumberFormat="1" applyFont="1" applyBorder="1" applyAlignment="1">
      <alignment horizontal="center" vertical="center"/>
      <protection/>
    </xf>
    <xf numFmtId="41" fontId="17" fillId="0" borderId="23" xfId="51" applyFont="1" applyBorder="1" applyAlignment="1">
      <alignment horizontal="center" vertical="center"/>
    </xf>
    <xf numFmtId="41" fontId="17" fillId="0" borderId="34" xfId="51" applyFont="1" applyBorder="1" applyAlignment="1">
      <alignment horizontal="center" vertical="center"/>
    </xf>
    <xf numFmtId="41" fontId="17" fillId="0" borderId="33" xfId="51" applyFont="1" applyBorder="1" applyAlignment="1">
      <alignment horizontal="center" vertical="center"/>
    </xf>
    <xf numFmtId="41" fontId="19" fillId="0" borderId="21" xfId="51" applyFont="1" applyBorder="1" applyAlignment="1">
      <alignment horizontal="left" vertical="top"/>
    </xf>
    <xf numFmtId="41" fontId="19" fillId="0" borderId="0" xfId="51" applyFont="1" applyBorder="1" applyAlignment="1">
      <alignment horizontal="left" vertical="top"/>
    </xf>
    <xf numFmtId="41" fontId="19" fillId="0" borderId="23" xfId="51" applyFont="1" applyBorder="1" applyAlignment="1">
      <alignment horizontal="left" vertical="top"/>
    </xf>
    <xf numFmtId="178" fontId="18" fillId="0" borderId="35" xfId="79" applyNumberFormat="1" applyFont="1" applyBorder="1" applyAlignment="1">
      <alignment/>
      <protection/>
    </xf>
    <xf numFmtId="178" fontId="18" fillId="0" borderId="36" xfId="79" applyNumberFormat="1" applyFont="1" applyBorder="1" applyAlignment="1">
      <alignment/>
      <protection/>
    </xf>
    <xf numFmtId="178" fontId="18" fillId="0" borderId="37" xfId="79" applyNumberFormat="1" applyFont="1" applyBorder="1" applyAlignment="1">
      <alignment/>
      <protection/>
    </xf>
    <xf numFmtId="178" fontId="18" fillId="0" borderId="21" xfId="79" applyNumberFormat="1" applyFont="1" applyBorder="1" applyAlignment="1">
      <alignment/>
      <protection/>
    </xf>
    <xf numFmtId="178" fontId="18" fillId="0" borderId="0" xfId="79" applyNumberFormat="1" applyFont="1" applyBorder="1" applyAlignment="1">
      <alignment/>
      <protection/>
    </xf>
    <xf numFmtId="178" fontId="18" fillId="0" borderId="23" xfId="79" applyNumberFormat="1" applyFont="1" applyBorder="1" applyAlignment="1">
      <alignment/>
      <protection/>
    </xf>
    <xf numFmtId="178" fontId="21" fillId="0" borderId="21" xfId="79" applyNumberFormat="1" applyFont="1" applyBorder="1" applyAlignment="1">
      <alignment horizontal="center" vertical="center"/>
      <protection/>
    </xf>
    <xf numFmtId="178" fontId="21" fillId="0" borderId="0" xfId="79" applyNumberFormat="1" applyFont="1" applyBorder="1" applyAlignment="1">
      <alignment horizontal="center" vertical="center"/>
      <protection/>
    </xf>
    <xf numFmtId="178" fontId="21" fillId="0" borderId="23" xfId="79" applyNumberFormat="1" applyFont="1" applyBorder="1" applyAlignment="1">
      <alignment horizontal="center" vertical="center"/>
      <protection/>
    </xf>
    <xf numFmtId="41" fontId="5" fillId="0" borderId="18" xfId="51" applyFont="1" applyBorder="1" applyAlignment="1">
      <alignment horizontal="center" vertical="center"/>
    </xf>
    <xf numFmtId="41" fontId="5" fillId="0" borderId="38" xfId="51" applyFont="1" applyBorder="1" applyAlignment="1">
      <alignment horizontal="center" vertical="center"/>
    </xf>
    <xf numFmtId="41" fontId="5" fillId="0" borderId="39" xfId="51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1" fontId="1" fillId="0" borderId="25" xfId="0" applyNumberFormat="1" applyFont="1" applyBorder="1" applyAlignment="1">
      <alignment horizontal="center" vertical="center"/>
    </xf>
    <xf numFmtId="0" fontId="20" fillId="0" borderId="33" xfId="0" applyNumberFormat="1" applyFont="1" applyBorder="1" applyAlignment="1">
      <alignment horizontal="left" vertical="center"/>
    </xf>
    <xf numFmtId="0" fontId="5" fillId="0" borderId="27" xfId="78" applyFont="1" applyBorder="1" applyAlignment="1">
      <alignment horizontal="center" vertical="center"/>
      <protection/>
    </xf>
    <xf numFmtId="0" fontId="5" fillId="0" borderId="24" xfId="78" applyFont="1" applyBorder="1" applyAlignment="1">
      <alignment horizontal="center" vertical="center"/>
      <protection/>
    </xf>
    <xf numFmtId="0" fontId="5" fillId="0" borderId="18" xfId="78" applyFont="1" applyBorder="1" applyAlignment="1">
      <alignment horizontal="center" vertical="center"/>
      <protection/>
    </xf>
    <xf numFmtId="0" fontId="5" fillId="0" borderId="25" xfId="78" applyFont="1" applyBorder="1" applyAlignment="1">
      <alignment horizontal="center" vertical="center"/>
      <protection/>
    </xf>
    <xf numFmtId="0" fontId="4" fillId="0" borderId="13" xfId="76" applyFont="1" applyBorder="1" applyAlignment="1">
      <alignment vertical="center"/>
      <protection/>
    </xf>
    <xf numFmtId="0" fontId="4" fillId="0" borderId="12" xfId="76" applyFont="1" applyBorder="1" applyAlignment="1">
      <alignment vertical="center"/>
      <protection/>
    </xf>
    <xf numFmtId="0" fontId="4" fillId="0" borderId="20" xfId="76" applyFont="1" applyBorder="1" applyAlignment="1">
      <alignment vertical="center"/>
      <protection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12" xfId="78" applyFont="1" applyBorder="1" applyAlignment="1">
      <alignment horizontal="center" vertical="center"/>
      <protection/>
    </xf>
    <xf numFmtId="0" fontId="5" fillId="0" borderId="13" xfId="78" applyFont="1" applyBorder="1" applyAlignment="1">
      <alignment horizontal="center" vertical="center"/>
      <protection/>
    </xf>
    <xf numFmtId="41" fontId="5" fillId="0" borderId="19" xfId="51" applyFont="1" applyBorder="1" applyAlignment="1">
      <alignment horizontal="center" vertical="center"/>
    </xf>
    <xf numFmtId="41" fontId="5" fillId="0" borderId="20" xfId="51" applyFont="1" applyBorder="1" applyAlignment="1">
      <alignment horizontal="center" vertical="center"/>
    </xf>
    <xf numFmtId="0" fontId="68" fillId="0" borderId="21" xfId="74" applyFont="1" applyBorder="1" applyAlignment="1">
      <alignment horizontal="center" vertical="center"/>
      <protection/>
    </xf>
    <xf numFmtId="0" fontId="67" fillId="0" borderId="43" xfId="74" applyFont="1" applyBorder="1" applyAlignment="1">
      <alignment vertical="center"/>
      <protection/>
    </xf>
    <xf numFmtId="0" fontId="67" fillId="0" borderId="44" xfId="74" applyFont="1" applyBorder="1" applyAlignment="1">
      <alignment vertical="center"/>
      <protection/>
    </xf>
    <xf numFmtId="0" fontId="67" fillId="0" borderId="43" xfId="74" applyFont="1" applyBorder="1" applyAlignment="1">
      <alignment horizontal="left" vertical="center"/>
      <protection/>
    </xf>
    <xf numFmtId="0" fontId="67" fillId="0" borderId="45" xfId="74" applyFont="1" applyBorder="1" applyAlignment="1">
      <alignment horizontal="left" vertical="center"/>
      <protection/>
    </xf>
    <xf numFmtId="0" fontId="67" fillId="0" borderId="44" xfId="74" applyFont="1" applyBorder="1" applyAlignment="1">
      <alignment horizontal="left" vertical="center"/>
      <protection/>
    </xf>
    <xf numFmtId="0" fontId="66" fillId="0" borderId="31" xfId="74" applyFont="1" applyBorder="1" applyAlignment="1">
      <alignment horizontal="center" vertical="center"/>
      <protection/>
    </xf>
    <xf numFmtId="0" fontId="66" fillId="0" borderId="46" xfId="74" applyFont="1" applyBorder="1" applyAlignment="1">
      <alignment horizontal="center" vertical="center"/>
      <protection/>
    </xf>
    <xf numFmtId="0" fontId="27" fillId="0" borderId="43" xfId="77" applyFont="1" applyBorder="1" applyAlignment="1">
      <alignment vertical="center"/>
      <protection/>
    </xf>
    <xf numFmtId="0" fontId="27" fillId="0" borderId="45" xfId="77" applyFont="1" applyBorder="1" applyAlignment="1">
      <alignment vertical="center"/>
      <protection/>
    </xf>
    <xf numFmtId="0" fontId="27" fillId="0" borderId="44" xfId="77" applyFont="1" applyBorder="1" applyAlignment="1">
      <alignment vertical="center"/>
      <protection/>
    </xf>
    <xf numFmtId="0" fontId="68" fillId="0" borderId="0" xfId="74" applyFont="1" applyAlignment="1">
      <alignment horizontal="center" vertical="center" wrapText="1"/>
      <protection/>
    </xf>
    <xf numFmtId="3" fontId="66" fillId="0" borderId="12" xfId="74" applyNumberFormat="1" applyFont="1" applyBorder="1" applyAlignment="1" quotePrefix="1">
      <alignment horizontal="center" vertical="center"/>
      <protection/>
    </xf>
    <xf numFmtId="3" fontId="66" fillId="0" borderId="25" xfId="74" applyNumberFormat="1" applyFont="1" applyBorder="1" applyAlignment="1" quotePrefix="1">
      <alignment horizontal="center" vertical="center"/>
      <protection/>
    </xf>
    <xf numFmtId="3" fontId="66" fillId="0" borderId="0" xfId="74" applyNumberFormat="1" applyFont="1">
      <alignment vertical="center"/>
      <protection/>
    </xf>
    <xf numFmtId="3" fontId="0" fillId="0" borderId="0" xfId="75" applyNumberFormat="1">
      <alignment/>
      <protection/>
    </xf>
  </cellXfs>
  <cellStyles count="6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Ç¥ÁØ_ÀÏÀ§´ë°¡ (2)" xfId="33"/>
    <cellStyle name="Header1" xfId="34"/>
    <cellStyle name="Header2" xfId="35"/>
    <cellStyle name="강조색1" xfId="36"/>
    <cellStyle name="강조색2" xfId="37"/>
    <cellStyle name="강조색3" xfId="38"/>
    <cellStyle name="강조색4" xfId="39"/>
    <cellStyle name="강조색5" xfId="40"/>
    <cellStyle name="강조색6" xfId="41"/>
    <cellStyle name="경고문" xfId="42"/>
    <cellStyle name="계산" xfId="43"/>
    <cellStyle name="나쁨" xfId="44"/>
    <cellStyle name="메모" xfId="45"/>
    <cellStyle name="Percent" xfId="46"/>
    <cellStyle name="보통" xfId="47"/>
    <cellStyle name="설명 텍스트" xfId="48"/>
    <cellStyle name="셀 확인" xfId="49"/>
    <cellStyle name="Comma" xfId="50"/>
    <cellStyle name="Comma [0]" xfId="51"/>
    <cellStyle name="쉼표 [0] 2" xfId="52"/>
    <cellStyle name="쉼표 [0] 2 2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콤마 [0]_동부" xfId="65"/>
    <cellStyle name="콤마[ ]" xfId="66"/>
    <cellStyle name="콤마[*]" xfId="67"/>
    <cellStyle name="콤마[.]" xfId="68"/>
    <cellStyle name="콤마[0]" xfId="69"/>
    <cellStyle name="콤마_동부" xfId="70"/>
    <cellStyle name="Currency" xfId="71"/>
    <cellStyle name="Currency [0]" xfId="72"/>
    <cellStyle name="표준 2" xfId="73"/>
    <cellStyle name="표준 2 2" xfId="74"/>
    <cellStyle name="표준 2 2 2" xfId="75"/>
    <cellStyle name="표준_노측방호책일위(아스콘)-950기초지주450" xfId="76"/>
    <cellStyle name="표준_노측방호책일위(아스콘)-950기초지주450 2" xfId="77"/>
    <cellStyle name="표준_설계서-2" xfId="78"/>
    <cellStyle name="표준_우리꽃길조성사업" xfId="79"/>
    <cellStyle name="Hyperlink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K16" sqref="K16"/>
    </sheetView>
  </sheetViews>
  <sheetFormatPr defaultColWidth="8.88671875" defaultRowHeight="24.75" customHeight="1"/>
  <cols>
    <col min="1" max="1" width="8.99609375" style="29" customWidth="1"/>
    <col min="2" max="2" width="3.77734375" style="28" customWidth="1"/>
    <col min="3" max="3" width="0.9921875" style="29" customWidth="1"/>
    <col min="4" max="4" width="8.21484375" style="28" customWidth="1"/>
    <col min="5" max="5" width="4.99609375" style="29" customWidth="1"/>
    <col min="6" max="6" width="3.21484375" style="28" customWidth="1"/>
    <col min="7" max="7" width="9.5546875" style="28" customWidth="1"/>
    <col min="8" max="8" width="3.21484375" style="28" customWidth="1"/>
    <col min="9" max="9" width="6.4453125" style="28" customWidth="1"/>
    <col min="10" max="10" width="15.5546875" style="28" customWidth="1"/>
    <col min="11" max="11" width="16.88671875" style="28" customWidth="1"/>
    <col min="12" max="12" width="14.77734375" style="28" customWidth="1"/>
    <col min="13" max="13" width="8.88671875" style="28" customWidth="1"/>
    <col min="14" max="16384" width="8.88671875" style="29" customWidth="1"/>
  </cols>
  <sheetData>
    <row r="1" spans="1:12" ht="24.75" customHeight="1">
      <c r="A1" s="19" t="s">
        <v>0</v>
      </c>
      <c r="B1" s="20"/>
      <c r="C1" s="21"/>
      <c r="D1" s="22" t="s">
        <v>10</v>
      </c>
      <c r="E1" s="23"/>
      <c r="F1" s="24" t="s">
        <v>1</v>
      </c>
      <c r="G1" s="24"/>
      <c r="H1" s="24" t="s">
        <v>2</v>
      </c>
      <c r="I1" s="22"/>
      <c r="J1" s="25" t="s">
        <v>3</v>
      </c>
      <c r="K1" s="26" t="s">
        <v>4</v>
      </c>
      <c r="L1" s="27" t="s">
        <v>11</v>
      </c>
    </row>
    <row r="2" spans="1:12" ht="24.75" customHeight="1">
      <c r="A2" s="165"/>
      <c r="B2" s="166"/>
      <c r="C2" s="167"/>
      <c r="D2" s="168"/>
      <c r="E2" s="169"/>
      <c r="F2" s="168"/>
      <c r="G2" s="169"/>
      <c r="H2" s="168"/>
      <c r="I2" s="169"/>
      <c r="J2" s="30" t="s">
        <v>5</v>
      </c>
      <c r="K2" s="31" t="s">
        <v>4</v>
      </c>
      <c r="L2" s="32" t="s">
        <v>12</v>
      </c>
    </row>
    <row r="3" spans="1:12" ht="47.25" customHeight="1">
      <c r="A3" s="180" t="s">
        <v>13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2"/>
    </row>
    <row r="4" spans="1:12" ht="13.5" customHeight="1" thickBot="1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5"/>
    </row>
    <row r="5" spans="1:12" ht="13.5" customHeight="1" thickTop="1">
      <c r="A5" s="33"/>
      <c r="B5" s="34"/>
      <c r="C5" s="34"/>
      <c r="D5" s="34"/>
      <c r="E5" s="34"/>
      <c r="F5" s="34"/>
      <c r="G5" s="35"/>
      <c r="H5" s="35"/>
      <c r="I5" s="35"/>
      <c r="J5" s="35"/>
      <c r="K5" s="34"/>
      <c r="L5" s="36"/>
    </row>
    <row r="6" spans="1:13" ht="24" customHeight="1">
      <c r="A6" s="186" t="str">
        <f>일위대가!A1</f>
        <v>표 준 형  가 드 레 일 [2WAY] - 성토부 비탈면 구간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8"/>
      <c r="M6" s="29"/>
    </row>
    <row r="7" spans="1:12" ht="24.75" customHeight="1">
      <c r="A7" s="177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9"/>
    </row>
    <row r="8" spans="1:12" ht="24.75" customHeight="1">
      <c r="A8" s="37"/>
      <c r="L8" s="38"/>
    </row>
    <row r="9" spans="1:12" ht="24.75" customHeight="1">
      <c r="A9" s="37"/>
      <c r="L9" s="38"/>
    </row>
    <row r="10" spans="1:12" ht="24.75" customHeight="1">
      <c r="A10" s="37"/>
      <c r="L10" s="38"/>
    </row>
    <row r="11" spans="1:12" ht="24.75" customHeight="1">
      <c r="A11" s="37"/>
      <c r="L11" s="38"/>
    </row>
    <row r="12" spans="1:12" ht="21" customHeight="1">
      <c r="A12" s="170"/>
      <c r="B12" s="171"/>
      <c r="C12" s="171"/>
      <c r="D12" s="171"/>
      <c r="E12" s="171"/>
      <c r="F12" s="171"/>
      <c r="G12" s="171"/>
      <c r="H12" s="171"/>
      <c r="I12" s="171"/>
      <c r="J12" s="28" t="s">
        <v>8</v>
      </c>
      <c r="K12" s="28" t="s">
        <v>174</v>
      </c>
      <c r="L12" s="174"/>
    </row>
    <row r="13" spans="1:12" ht="21" customHeight="1">
      <c r="A13" s="170"/>
      <c r="B13" s="171"/>
      <c r="C13" s="171"/>
      <c r="D13" s="171"/>
      <c r="E13" s="171"/>
      <c r="F13" s="171"/>
      <c r="G13" s="171"/>
      <c r="H13" s="171"/>
      <c r="I13" s="171"/>
      <c r="J13" s="29" t="s">
        <v>6</v>
      </c>
      <c r="K13" s="28" t="s">
        <v>129</v>
      </c>
      <c r="L13" s="174"/>
    </row>
    <row r="14" spans="1:12" ht="21" customHeight="1">
      <c r="A14" s="170"/>
      <c r="B14" s="171"/>
      <c r="C14" s="171"/>
      <c r="D14" s="171"/>
      <c r="E14" s="171"/>
      <c r="F14" s="171"/>
      <c r="G14" s="171"/>
      <c r="H14" s="171"/>
      <c r="I14" s="171"/>
      <c r="J14" s="28" t="s">
        <v>7</v>
      </c>
      <c r="K14" s="28" t="s">
        <v>130</v>
      </c>
      <c r="L14" s="174"/>
    </row>
    <row r="15" spans="1:12" ht="21" customHeight="1">
      <c r="A15" s="170"/>
      <c r="B15" s="171"/>
      <c r="C15" s="171"/>
      <c r="D15" s="171"/>
      <c r="E15" s="171"/>
      <c r="F15" s="171"/>
      <c r="G15" s="171"/>
      <c r="H15" s="171"/>
      <c r="I15" s="171"/>
      <c r="J15" s="28" t="s">
        <v>9</v>
      </c>
      <c r="K15" s="28" t="s">
        <v>76</v>
      </c>
      <c r="L15" s="174"/>
    </row>
    <row r="16" spans="1:12" ht="21" customHeight="1">
      <c r="A16" s="170"/>
      <c r="B16" s="171"/>
      <c r="C16" s="171"/>
      <c r="D16" s="171"/>
      <c r="E16" s="171"/>
      <c r="F16" s="171"/>
      <c r="G16" s="171"/>
      <c r="H16" s="171"/>
      <c r="I16" s="171"/>
      <c r="L16" s="174"/>
    </row>
    <row r="17" spans="1:12" ht="23.25" customHeight="1">
      <c r="A17" s="172"/>
      <c r="B17" s="173"/>
      <c r="C17" s="173"/>
      <c r="D17" s="173"/>
      <c r="E17" s="173"/>
      <c r="F17" s="173"/>
      <c r="G17" s="173"/>
      <c r="H17" s="173"/>
      <c r="I17" s="173"/>
      <c r="J17" s="176"/>
      <c r="K17" s="176"/>
      <c r="L17" s="175"/>
    </row>
  </sheetData>
  <sheetProtection/>
  <mergeCells count="10">
    <mergeCell ref="A2:C2"/>
    <mergeCell ref="D2:E2"/>
    <mergeCell ref="F2:G2"/>
    <mergeCell ref="H2:I2"/>
    <mergeCell ref="A12:I17"/>
    <mergeCell ref="L12:L17"/>
    <mergeCell ref="J17:K17"/>
    <mergeCell ref="A7:L7"/>
    <mergeCell ref="A3:L4"/>
    <mergeCell ref="A6:L6"/>
  </mergeCells>
  <printOptions/>
  <pageMargins left="0.92" right="0.59" top="1.24" bottom="0.35433070866141736" header="0.91" footer="0.2362204724409449"/>
  <pageSetup horizontalDpi="300" verticalDpi="3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view="pageBreakPreview" zoomScaleSheetLayoutView="100" workbookViewId="0" topLeftCell="A1">
      <selection activeCell="J16" sqref="J16"/>
    </sheetView>
  </sheetViews>
  <sheetFormatPr defaultColWidth="7.10546875" defaultRowHeight="15" customHeight="1"/>
  <cols>
    <col min="1" max="1" width="14.77734375" style="3" customWidth="1"/>
    <col min="2" max="2" width="18.88671875" style="4" customWidth="1"/>
    <col min="3" max="3" width="6.5546875" style="3" customWidth="1"/>
    <col min="4" max="4" width="4.77734375" style="5" customWidth="1"/>
    <col min="5" max="12" width="9.77734375" style="1" customWidth="1"/>
    <col min="13" max="13" width="30.77734375" style="1" customWidth="1"/>
    <col min="14" max="14" width="5.6640625" style="78" customWidth="1"/>
    <col min="15" max="15" width="3.99609375" style="3" bestFit="1" customWidth="1"/>
    <col min="16" max="16" width="1.99609375" style="3" bestFit="1" customWidth="1"/>
    <col min="17" max="17" width="6.21484375" style="3" bestFit="1" customWidth="1"/>
    <col min="18" max="18" width="3.3359375" style="3" bestFit="1" customWidth="1"/>
    <col min="19" max="16384" width="7.10546875" style="3" customWidth="1"/>
  </cols>
  <sheetData>
    <row r="1" spans="1:14" s="2" customFormat="1" ht="30" customHeight="1">
      <c r="A1" s="199" t="s">
        <v>77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69"/>
    </row>
    <row r="2" spans="1:14" ht="24.75" customHeight="1">
      <c r="A2" s="200" t="s">
        <v>14</v>
      </c>
      <c r="B2" s="202" t="s">
        <v>132</v>
      </c>
      <c r="C2" s="202" t="s">
        <v>15</v>
      </c>
      <c r="D2" s="202" t="s">
        <v>16</v>
      </c>
      <c r="E2" s="189" t="s">
        <v>17</v>
      </c>
      <c r="F2" s="189"/>
      <c r="G2" s="189" t="s">
        <v>18</v>
      </c>
      <c r="H2" s="189"/>
      <c r="I2" s="189" t="s">
        <v>133</v>
      </c>
      <c r="J2" s="189"/>
      <c r="K2" s="189" t="s">
        <v>19</v>
      </c>
      <c r="L2" s="189"/>
      <c r="M2" s="190" t="s">
        <v>20</v>
      </c>
      <c r="N2" s="70"/>
    </row>
    <row r="3" spans="1:14" ht="24.75" customHeight="1">
      <c r="A3" s="201"/>
      <c r="B3" s="203"/>
      <c r="C3" s="203"/>
      <c r="D3" s="203"/>
      <c r="E3" s="158" t="s">
        <v>21</v>
      </c>
      <c r="F3" s="158" t="s">
        <v>22</v>
      </c>
      <c r="G3" s="158" t="s">
        <v>21</v>
      </c>
      <c r="H3" s="158" t="s">
        <v>22</v>
      </c>
      <c r="I3" s="158" t="s">
        <v>21</v>
      </c>
      <c r="J3" s="158" t="s">
        <v>134</v>
      </c>
      <c r="K3" s="158" t="s">
        <v>135</v>
      </c>
      <c r="L3" s="158" t="s">
        <v>134</v>
      </c>
      <c r="M3" s="191"/>
      <c r="N3" s="70"/>
    </row>
    <row r="4" spans="1:14" s="6" customFormat="1" ht="24.75" customHeight="1">
      <c r="A4" s="192" t="s">
        <v>136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4"/>
      <c r="N4" s="71"/>
    </row>
    <row r="5" spans="1:14" s="6" customFormat="1" ht="24.75" customHeight="1">
      <c r="A5" s="9" t="s">
        <v>70</v>
      </c>
      <c r="B5" s="10" t="s">
        <v>116</v>
      </c>
      <c r="C5" s="11">
        <v>1</v>
      </c>
      <c r="D5" s="12" t="s">
        <v>71</v>
      </c>
      <c r="E5" s="8">
        <v>73000</v>
      </c>
      <c r="F5" s="8">
        <f aca="true" t="shared" si="0" ref="F5:F10">INT(E5*C5)</f>
        <v>73000</v>
      </c>
      <c r="G5" s="8"/>
      <c r="H5" s="8"/>
      <c r="I5" s="8"/>
      <c r="J5" s="8"/>
      <c r="K5" s="8">
        <f>SUM(E5,G5,I5)</f>
        <v>73000</v>
      </c>
      <c r="L5" s="8">
        <f>SUM(F5,H5,J5)</f>
        <v>73000</v>
      </c>
      <c r="M5" s="41"/>
      <c r="N5" s="70"/>
    </row>
    <row r="6" spans="1:17" s="82" customFormat="1" ht="24.75" customHeight="1">
      <c r="A6" s="62" t="s">
        <v>61</v>
      </c>
      <c r="B6" s="114" t="s">
        <v>75</v>
      </c>
      <c r="C6" s="11">
        <v>0.5</v>
      </c>
      <c r="D6" s="54" t="s">
        <v>62</v>
      </c>
      <c r="E6" s="8">
        <v>135000</v>
      </c>
      <c r="F6" s="55">
        <f t="shared" si="0"/>
        <v>67500</v>
      </c>
      <c r="G6" s="55"/>
      <c r="H6" s="55"/>
      <c r="I6" s="55"/>
      <c r="J6" s="55"/>
      <c r="K6" s="55">
        <f aca="true" t="shared" si="1" ref="K6:L9">SUM(E6,G6,I6)</f>
        <v>135000</v>
      </c>
      <c r="L6" s="55">
        <f t="shared" si="1"/>
        <v>67500</v>
      </c>
      <c r="M6" s="120" t="s">
        <v>120</v>
      </c>
      <c r="N6" s="115"/>
      <c r="P6" s="116"/>
      <c r="Q6" s="116"/>
    </row>
    <row r="7" spans="1:14" s="82" customFormat="1" ht="24.75" customHeight="1">
      <c r="A7" s="62" t="s">
        <v>72</v>
      </c>
      <c r="B7" s="114" t="s">
        <v>73</v>
      </c>
      <c r="C7" s="11">
        <v>1</v>
      </c>
      <c r="D7" s="54" t="s">
        <v>74</v>
      </c>
      <c r="E7" s="8">
        <v>2300</v>
      </c>
      <c r="F7" s="55">
        <f t="shared" si="0"/>
        <v>2300</v>
      </c>
      <c r="G7" s="55"/>
      <c r="H7" s="55"/>
      <c r="I7" s="55"/>
      <c r="J7" s="55"/>
      <c r="K7" s="55">
        <f t="shared" si="1"/>
        <v>2300</v>
      </c>
      <c r="L7" s="55">
        <f t="shared" si="1"/>
        <v>2300</v>
      </c>
      <c r="M7" s="117"/>
      <c r="N7" s="115"/>
    </row>
    <row r="8" spans="1:14" s="82" customFormat="1" ht="24.75" customHeight="1">
      <c r="A8" s="62" t="s">
        <v>65</v>
      </c>
      <c r="B8" s="114" t="s">
        <v>68</v>
      </c>
      <c r="C8" s="11">
        <v>1</v>
      </c>
      <c r="D8" s="54" t="s">
        <v>66</v>
      </c>
      <c r="E8" s="8">
        <v>2100</v>
      </c>
      <c r="F8" s="55">
        <f t="shared" si="0"/>
        <v>2100</v>
      </c>
      <c r="G8" s="55"/>
      <c r="H8" s="55"/>
      <c r="I8" s="55"/>
      <c r="J8" s="55"/>
      <c r="K8" s="55">
        <f t="shared" si="1"/>
        <v>2100</v>
      </c>
      <c r="L8" s="55">
        <f t="shared" si="1"/>
        <v>2100</v>
      </c>
      <c r="M8" s="117"/>
      <c r="N8" s="115"/>
    </row>
    <row r="9" spans="1:14" s="82" customFormat="1" ht="24.75" customHeight="1">
      <c r="A9" s="62" t="s">
        <v>67</v>
      </c>
      <c r="B9" s="114" t="s">
        <v>69</v>
      </c>
      <c r="C9" s="11">
        <v>4</v>
      </c>
      <c r="D9" s="54" t="s">
        <v>66</v>
      </c>
      <c r="E9" s="8">
        <v>900</v>
      </c>
      <c r="F9" s="55">
        <f t="shared" si="0"/>
        <v>3600</v>
      </c>
      <c r="G9" s="55"/>
      <c r="H9" s="55"/>
      <c r="I9" s="55"/>
      <c r="J9" s="55"/>
      <c r="K9" s="55">
        <f t="shared" si="1"/>
        <v>900</v>
      </c>
      <c r="L9" s="55">
        <f t="shared" si="1"/>
        <v>3600</v>
      </c>
      <c r="M9" s="117"/>
      <c r="N9" s="115"/>
    </row>
    <row r="10" spans="1:14" s="6" customFormat="1" ht="24.75" customHeight="1">
      <c r="A10" s="9" t="s">
        <v>84</v>
      </c>
      <c r="B10" s="10" t="s">
        <v>85</v>
      </c>
      <c r="C10" s="11">
        <v>1</v>
      </c>
      <c r="D10" s="12" t="s">
        <v>86</v>
      </c>
      <c r="E10" s="8">
        <v>30000</v>
      </c>
      <c r="F10" s="8">
        <f t="shared" si="0"/>
        <v>30000</v>
      </c>
      <c r="G10" s="8"/>
      <c r="H10" s="8"/>
      <c r="I10" s="8"/>
      <c r="J10" s="8"/>
      <c r="K10" s="8">
        <f>SUM(E10,G10,I10)</f>
        <v>30000</v>
      </c>
      <c r="L10" s="8">
        <f>SUM(F10,H10,J10)</f>
        <v>30000</v>
      </c>
      <c r="M10" s="48"/>
      <c r="N10" s="72"/>
    </row>
    <row r="11" spans="1:19" s="6" customFormat="1" ht="24.75" customHeight="1">
      <c r="A11" s="44" t="s">
        <v>53</v>
      </c>
      <c r="B11" s="15"/>
      <c r="C11" s="11"/>
      <c r="D11" s="12"/>
      <c r="E11" s="8"/>
      <c r="F11" s="14">
        <f>SUM(F5:F10)</f>
        <v>178500</v>
      </c>
      <c r="G11" s="8"/>
      <c r="H11" s="14"/>
      <c r="I11" s="8"/>
      <c r="J11" s="14"/>
      <c r="K11" s="8"/>
      <c r="L11" s="14">
        <f>SUM(L5:L10)</f>
        <v>178500</v>
      </c>
      <c r="M11" s="159" t="str">
        <f>O11&amp;".0"&amp;P11&amp;" "&amp;Q11&amp;" P."&amp;R11</f>
        <v>2022.01 거래가격 P.266</v>
      </c>
      <c r="N11" s="160"/>
      <c r="O11" s="5">
        <f>base!D3</f>
        <v>2022</v>
      </c>
      <c r="P11" s="5">
        <v>1</v>
      </c>
      <c r="Q11" s="5" t="s">
        <v>138</v>
      </c>
      <c r="R11" s="5">
        <f>base!E3</f>
        <v>266</v>
      </c>
      <c r="S11" s="85"/>
    </row>
    <row r="12" spans="1:19" s="6" customFormat="1" ht="24.75" customHeight="1">
      <c r="A12" s="100" t="s">
        <v>45</v>
      </c>
      <c r="B12" s="10" t="s">
        <v>45</v>
      </c>
      <c r="C12" s="164">
        <v>0.051</v>
      </c>
      <c r="D12" s="12" t="s">
        <v>23</v>
      </c>
      <c r="E12" s="13"/>
      <c r="F12" s="8"/>
      <c r="G12" s="8">
        <f>기본대가!L23</f>
        <v>187435</v>
      </c>
      <c r="H12" s="8">
        <f>INT(G12*C12)</f>
        <v>9559</v>
      </c>
      <c r="I12" s="8"/>
      <c r="J12" s="8"/>
      <c r="K12" s="8">
        <f aca="true" t="shared" si="2" ref="K12:K17">SUM(E12,G12,I12)</f>
        <v>187435</v>
      </c>
      <c r="L12" s="8">
        <f aca="true" t="shared" si="3" ref="L12:L19">SUM(F12,H12,J12)</f>
        <v>9559</v>
      </c>
      <c r="M12" s="90" t="str">
        <f>base!A3&amp;"년 건설공사표준품셈(대한건설협회) P."&amp;base!B3</f>
        <v>2022년 건설공사표준품셈(대한건설협회) P.795</v>
      </c>
      <c r="N12" s="74"/>
      <c r="O12" s="45"/>
      <c r="P12" s="45"/>
      <c r="Q12" s="45"/>
      <c r="R12" s="49"/>
      <c r="S12" s="49"/>
    </row>
    <row r="13" spans="1:16" s="6" customFormat="1" ht="24.75" customHeight="1">
      <c r="A13" s="100" t="s">
        <v>38</v>
      </c>
      <c r="B13" s="10" t="s">
        <v>38</v>
      </c>
      <c r="C13" s="164">
        <v>0.103</v>
      </c>
      <c r="D13" s="12" t="s">
        <v>23</v>
      </c>
      <c r="E13" s="13"/>
      <c r="F13" s="8"/>
      <c r="G13" s="8">
        <f>기본대가!L24</f>
        <v>148510</v>
      </c>
      <c r="H13" s="8">
        <f>INT(G13*C13)</f>
        <v>15296</v>
      </c>
      <c r="I13" s="8"/>
      <c r="J13" s="8"/>
      <c r="K13" s="8">
        <f t="shared" si="2"/>
        <v>148510</v>
      </c>
      <c r="L13" s="8">
        <f t="shared" si="3"/>
        <v>15296</v>
      </c>
      <c r="M13" s="90" t="str">
        <f>M12</f>
        <v>2022년 건설공사표준품셈(대한건설협회) P.795</v>
      </c>
      <c r="N13" s="74"/>
      <c r="O13" s="45"/>
      <c r="P13" s="45"/>
    </row>
    <row r="14" spans="1:15" s="6" customFormat="1" ht="24.75" customHeight="1">
      <c r="A14" s="9" t="s">
        <v>36</v>
      </c>
      <c r="B14" s="10" t="s">
        <v>52</v>
      </c>
      <c r="C14" s="164">
        <v>0.082</v>
      </c>
      <c r="D14" s="12" t="s">
        <v>37</v>
      </c>
      <c r="E14" s="13">
        <f>기본대가!F9</f>
        <v>20843</v>
      </c>
      <c r="F14" s="8">
        <f>INT(E14*C14)</f>
        <v>1709</v>
      </c>
      <c r="G14" s="8">
        <f>기본대가!H9</f>
        <v>47849</v>
      </c>
      <c r="H14" s="8">
        <f>INT(G14*C14)</f>
        <v>3923</v>
      </c>
      <c r="I14" s="8">
        <f>기본대가!J9</f>
        <v>33324</v>
      </c>
      <c r="J14" s="8">
        <f>INT(I14*C14)</f>
        <v>2732</v>
      </c>
      <c r="K14" s="8">
        <f t="shared" si="2"/>
        <v>102016</v>
      </c>
      <c r="L14" s="8">
        <f t="shared" si="3"/>
        <v>8364</v>
      </c>
      <c r="M14" s="90" t="str">
        <f>M13</f>
        <v>2022년 건설공사표준품셈(대한건설협회) P.795</v>
      </c>
      <c r="N14" s="75"/>
      <c r="O14" s="45"/>
    </row>
    <row r="15" spans="1:14" s="6" customFormat="1" ht="24.75" customHeight="1">
      <c r="A15" s="9" t="s">
        <v>93</v>
      </c>
      <c r="B15" s="10" t="s">
        <v>79</v>
      </c>
      <c r="C15" s="164">
        <v>0.062</v>
      </c>
      <c r="D15" s="12" t="s">
        <v>37</v>
      </c>
      <c r="E15" s="13">
        <f>기본대가!F15</f>
        <v>5798</v>
      </c>
      <c r="F15" s="8">
        <f>INT(C15*E15)</f>
        <v>359</v>
      </c>
      <c r="G15" s="8">
        <f>기본대가!H15</f>
        <v>39645</v>
      </c>
      <c r="H15" s="8">
        <f>INT(G15*C15)</f>
        <v>2457</v>
      </c>
      <c r="I15" s="8">
        <f>기본대가!J15</f>
        <v>5965</v>
      </c>
      <c r="J15" s="8">
        <f>INT(C15*I15)</f>
        <v>369</v>
      </c>
      <c r="K15" s="8">
        <f t="shared" si="2"/>
        <v>51408</v>
      </c>
      <c r="L15" s="8">
        <f>SUM(F15,H15,J15)</f>
        <v>3185</v>
      </c>
      <c r="M15" s="90" t="str">
        <f>M14</f>
        <v>2022년 건설공사표준품셈(대한건설협회) P.795</v>
      </c>
      <c r="N15" s="75"/>
    </row>
    <row r="16" spans="1:14" s="6" customFormat="1" ht="24.75" customHeight="1">
      <c r="A16" s="9" t="s">
        <v>87</v>
      </c>
      <c r="B16" s="10" t="s">
        <v>88</v>
      </c>
      <c r="C16" s="164">
        <v>0.082</v>
      </c>
      <c r="D16" s="12" t="s">
        <v>80</v>
      </c>
      <c r="E16" s="13">
        <f>기본대가!F21</f>
        <v>7726</v>
      </c>
      <c r="F16" s="8">
        <f>C16*E16</f>
        <v>633.532</v>
      </c>
      <c r="G16" s="8">
        <f>기본대가!H21</f>
        <v>29239.791666666664</v>
      </c>
      <c r="H16" s="8">
        <f>INT(G16*C16)</f>
        <v>2397</v>
      </c>
      <c r="I16" s="8">
        <f>기본대가!J21</f>
        <v>3090</v>
      </c>
      <c r="J16" s="8">
        <f>INT(C16*I16)</f>
        <v>253</v>
      </c>
      <c r="K16" s="8">
        <f t="shared" si="2"/>
        <v>40055.791666666664</v>
      </c>
      <c r="L16" s="8">
        <f>SUM(F16,H16,J16)</f>
        <v>3283.532</v>
      </c>
      <c r="M16" s="90" t="str">
        <f>M15</f>
        <v>2022년 건설공사표준품셈(대한건설협회) P.795</v>
      </c>
      <c r="N16" s="75"/>
    </row>
    <row r="17" spans="1:16" s="6" customFormat="1" ht="24.75" customHeight="1">
      <c r="A17" s="9" t="s">
        <v>41</v>
      </c>
      <c r="B17" s="10" t="s">
        <v>44</v>
      </c>
      <c r="C17" s="43">
        <v>1</v>
      </c>
      <c r="D17" s="12" t="s">
        <v>42</v>
      </c>
      <c r="E17" s="8">
        <f>INT(SUM(H12:H13)*3%)</f>
        <v>745</v>
      </c>
      <c r="F17" s="8">
        <f>INT(E17*C17)</f>
        <v>745</v>
      </c>
      <c r="G17" s="8"/>
      <c r="H17" s="8"/>
      <c r="I17" s="50"/>
      <c r="J17" s="8"/>
      <c r="K17" s="8">
        <f t="shared" si="2"/>
        <v>745</v>
      </c>
      <c r="L17" s="8">
        <f t="shared" si="3"/>
        <v>745</v>
      </c>
      <c r="M17" s="47"/>
      <c r="N17" s="76"/>
      <c r="O17" s="45"/>
      <c r="P17" s="49"/>
    </row>
    <row r="18" spans="1:14" s="6" customFormat="1" ht="24.75" customHeight="1">
      <c r="A18" s="44" t="s">
        <v>54</v>
      </c>
      <c r="B18" s="15"/>
      <c r="C18" s="11"/>
      <c r="D18" s="12"/>
      <c r="E18" s="8"/>
      <c r="F18" s="14">
        <f>SUM(F12:F17)</f>
        <v>3446.532</v>
      </c>
      <c r="G18" s="8"/>
      <c r="H18" s="14">
        <f>SUM(H12:H17)</f>
        <v>33632</v>
      </c>
      <c r="I18" s="8"/>
      <c r="J18" s="14">
        <f>SUM(J12:J17)</f>
        <v>3354</v>
      </c>
      <c r="K18" s="8"/>
      <c r="L18" s="14">
        <f t="shared" si="3"/>
        <v>40432.532</v>
      </c>
      <c r="M18" s="42"/>
      <c r="N18" s="73"/>
    </row>
    <row r="19" spans="1:14" s="6" customFormat="1" ht="24.75" customHeight="1">
      <c r="A19" s="44" t="s">
        <v>43</v>
      </c>
      <c r="B19" s="15"/>
      <c r="C19" s="11"/>
      <c r="D19" s="12"/>
      <c r="E19" s="8"/>
      <c r="F19" s="14">
        <f>SUM(F11,F18)</f>
        <v>181946.532</v>
      </c>
      <c r="G19" s="8"/>
      <c r="H19" s="14">
        <f>SUM(H11,H18)</f>
        <v>33632</v>
      </c>
      <c r="I19" s="8"/>
      <c r="J19" s="14">
        <f>SUM(J11,J18)</f>
        <v>3354</v>
      </c>
      <c r="K19" s="8"/>
      <c r="L19" s="14">
        <f t="shared" si="3"/>
        <v>218932.532</v>
      </c>
      <c r="M19" s="42"/>
      <c r="N19" s="73"/>
    </row>
    <row r="20" spans="1:15" s="7" customFormat="1" ht="24.75" customHeight="1">
      <c r="A20" s="101"/>
      <c r="B20" s="102" t="s">
        <v>24</v>
      </c>
      <c r="C20" s="198">
        <f>L19</f>
        <v>218932.532</v>
      </c>
      <c r="D20" s="198"/>
      <c r="E20" s="103" t="s">
        <v>137</v>
      </c>
      <c r="F20" s="104">
        <f>ROUNDUP(L19/2,0)</f>
        <v>109467</v>
      </c>
      <c r="G20" s="103"/>
      <c r="H20" s="103"/>
      <c r="I20" s="103"/>
      <c r="J20" s="103"/>
      <c r="K20" s="103"/>
      <c r="L20" s="103"/>
      <c r="M20" s="105"/>
      <c r="N20" s="77"/>
      <c r="O20" s="6"/>
    </row>
    <row r="21" spans="1:14" s="6" customFormat="1" ht="24.75" customHeight="1">
      <c r="A21" s="195" t="s">
        <v>96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7"/>
      <c r="N21" s="71"/>
    </row>
    <row r="22" spans="1:14" s="6" customFormat="1" ht="24.75" customHeight="1">
      <c r="A22" s="9" t="s">
        <v>59</v>
      </c>
      <c r="B22" s="10" t="s">
        <v>116</v>
      </c>
      <c r="C22" s="11">
        <f>$C5/2</f>
        <v>0.5</v>
      </c>
      <c r="D22" s="12" t="s">
        <v>60</v>
      </c>
      <c r="E22" s="8">
        <f>E5</f>
        <v>73000</v>
      </c>
      <c r="F22" s="8">
        <f aca="true" t="shared" si="4" ref="F22:F27">INT(E22*C22)</f>
        <v>36500</v>
      </c>
      <c r="G22" s="8"/>
      <c r="H22" s="8"/>
      <c r="I22" s="8"/>
      <c r="J22" s="8"/>
      <c r="K22" s="8">
        <f aca="true" t="shared" si="5" ref="K22:L27">SUM(E22,G22,I22)</f>
        <v>73000</v>
      </c>
      <c r="L22" s="8">
        <f t="shared" si="5"/>
        <v>36500</v>
      </c>
      <c r="M22" s="41"/>
      <c r="N22" s="70"/>
    </row>
    <row r="23" spans="1:17" s="6" customFormat="1" ht="24.75" customHeight="1">
      <c r="A23" s="9" t="s">
        <v>94</v>
      </c>
      <c r="B23" s="10" t="s">
        <v>95</v>
      </c>
      <c r="C23" s="11">
        <v>1</v>
      </c>
      <c r="D23" s="12" t="s">
        <v>62</v>
      </c>
      <c r="E23" s="8">
        <v>47000</v>
      </c>
      <c r="F23" s="8">
        <f t="shared" si="4"/>
        <v>47000</v>
      </c>
      <c r="G23" s="8"/>
      <c r="H23" s="8"/>
      <c r="I23" s="8"/>
      <c r="J23" s="8"/>
      <c r="K23" s="8">
        <f t="shared" si="5"/>
        <v>47000</v>
      </c>
      <c r="L23" s="8">
        <f t="shared" si="5"/>
        <v>47000</v>
      </c>
      <c r="M23" s="51"/>
      <c r="N23" s="70"/>
      <c r="P23" s="45"/>
      <c r="Q23" s="45"/>
    </row>
    <row r="24" spans="1:14" s="6" customFormat="1" ht="24.75" customHeight="1">
      <c r="A24" s="9" t="s">
        <v>64</v>
      </c>
      <c r="B24" s="10" t="s">
        <v>73</v>
      </c>
      <c r="C24" s="11">
        <f>$C7/2</f>
        <v>0.5</v>
      </c>
      <c r="D24" s="12" t="s">
        <v>63</v>
      </c>
      <c r="E24" s="8">
        <f>E7</f>
        <v>2300</v>
      </c>
      <c r="F24" s="8">
        <f t="shared" si="4"/>
        <v>1150</v>
      </c>
      <c r="G24" s="8"/>
      <c r="H24" s="8"/>
      <c r="I24" s="8"/>
      <c r="J24" s="8"/>
      <c r="K24" s="8">
        <f t="shared" si="5"/>
        <v>2300</v>
      </c>
      <c r="L24" s="8">
        <f t="shared" si="5"/>
        <v>1150</v>
      </c>
      <c r="M24" s="48"/>
      <c r="N24" s="70"/>
    </row>
    <row r="25" spans="1:14" s="6" customFormat="1" ht="24.75" customHeight="1">
      <c r="A25" s="9" t="s">
        <v>65</v>
      </c>
      <c r="B25" s="10" t="s">
        <v>68</v>
      </c>
      <c r="C25" s="11">
        <f>$C8/2</f>
        <v>0.5</v>
      </c>
      <c r="D25" s="12" t="s">
        <v>66</v>
      </c>
      <c r="E25" s="8">
        <f>E8</f>
        <v>2100</v>
      </c>
      <c r="F25" s="8">
        <f t="shared" si="4"/>
        <v>1050</v>
      </c>
      <c r="G25" s="8"/>
      <c r="H25" s="8"/>
      <c r="I25" s="8"/>
      <c r="J25" s="8"/>
      <c r="K25" s="8">
        <f t="shared" si="5"/>
        <v>2100</v>
      </c>
      <c r="L25" s="8">
        <f t="shared" si="5"/>
        <v>1050</v>
      </c>
      <c r="M25" s="48"/>
      <c r="N25" s="70"/>
    </row>
    <row r="26" spans="1:14" s="6" customFormat="1" ht="24.75" customHeight="1">
      <c r="A26" s="9" t="s">
        <v>67</v>
      </c>
      <c r="B26" s="10" t="s">
        <v>69</v>
      </c>
      <c r="C26" s="11">
        <v>4</v>
      </c>
      <c r="D26" s="12" t="s">
        <v>66</v>
      </c>
      <c r="E26" s="8">
        <f>E9</f>
        <v>900</v>
      </c>
      <c r="F26" s="8">
        <f t="shared" si="4"/>
        <v>3600</v>
      </c>
      <c r="G26" s="8"/>
      <c r="H26" s="8"/>
      <c r="I26" s="8"/>
      <c r="J26" s="8"/>
      <c r="K26" s="8">
        <f t="shared" si="5"/>
        <v>900</v>
      </c>
      <c r="L26" s="8">
        <f t="shared" si="5"/>
        <v>3600</v>
      </c>
      <c r="M26" s="48"/>
      <c r="N26" s="70"/>
    </row>
    <row r="27" spans="1:14" s="6" customFormat="1" ht="24.75" customHeight="1">
      <c r="A27" s="9" t="s">
        <v>84</v>
      </c>
      <c r="B27" s="10" t="s">
        <v>85</v>
      </c>
      <c r="C27" s="11">
        <f>$C10/2</f>
        <v>0.5</v>
      </c>
      <c r="D27" s="12" t="s">
        <v>63</v>
      </c>
      <c r="E27" s="8">
        <f>E10</f>
        <v>30000</v>
      </c>
      <c r="F27" s="8">
        <f t="shared" si="4"/>
        <v>15000</v>
      </c>
      <c r="G27" s="8"/>
      <c r="H27" s="8"/>
      <c r="I27" s="8"/>
      <c r="J27" s="8"/>
      <c r="K27" s="8">
        <f t="shared" si="5"/>
        <v>30000</v>
      </c>
      <c r="L27" s="8">
        <f t="shared" si="5"/>
        <v>15000</v>
      </c>
      <c r="M27" s="48"/>
      <c r="N27" s="72"/>
    </row>
    <row r="28" spans="1:15" s="6" customFormat="1" ht="24.75" customHeight="1">
      <c r="A28" s="44" t="s">
        <v>53</v>
      </c>
      <c r="B28" s="15"/>
      <c r="C28" s="11"/>
      <c r="D28" s="12"/>
      <c r="E28" s="8"/>
      <c r="F28" s="14">
        <f>SUM(F22:F27)</f>
        <v>104300</v>
      </c>
      <c r="G28" s="8"/>
      <c r="H28" s="14"/>
      <c r="I28" s="8"/>
      <c r="J28" s="14"/>
      <c r="K28" s="8"/>
      <c r="L28" s="14">
        <f>SUM(L22:L27)</f>
        <v>104300</v>
      </c>
      <c r="M28" s="90" t="str">
        <f>M11</f>
        <v>2022.01 거래가격 P.266</v>
      </c>
      <c r="N28" s="73"/>
      <c r="O28" s="45"/>
    </row>
    <row r="29" spans="1:19" s="6" customFormat="1" ht="24.75" customHeight="1">
      <c r="A29" s="100" t="s">
        <v>45</v>
      </c>
      <c r="B29" s="10" t="s">
        <v>45</v>
      </c>
      <c r="C29" s="113">
        <f>ROUND(C12/2,4)</f>
        <v>0.0255</v>
      </c>
      <c r="D29" s="12" t="s">
        <v>23</v>
      </c>
      <c r="E29" s="13"/>
      <c r="F29" s="8"/>
      <c r="G29" s="8">
        <f>G12</f>
        <v>187435</v>
      </c>
      <c r="H29" s="8">
        <f>INT(G29*C29)</f>
        <v>4779</v>
      </c>
      <c r="I29" s="8"/>
      <c r="J29" s="8"/>
      <c r="K29" s="8">
        <f aca="true" t="shared" si="6" ref="K29:K34">SUM(E29,G29,I29)</f>
        <v>187435</v>
      </c>
      <c r="L29" s="8">
        <f aca="true" t="shared" si="7" ref="L29:L36">SUM(F29,H29,J29)</f>
        <v>4779</v>
      </c>
      <c r="M29" s="112" t="s">
        <v>112</v>
      </c>
      <c r="N29" s="74"/>
      <c r="O29" s="45"/>
      <c r="P29" s="45"/>
      <c r="Q29" s="45"/>
      <c r="R29" s="49"/>
      <c r="S29" s="49"/>
    </row>
    <row r="30" spans="1:16" s="6" customFormat="1" ht="24.75" customHeight="1">
      <c r="A30" s="100" t="s">
        <v>38</v>
      </c>
      <c r="B30" s="10" t="s">
        <v>38</v>
      </c>
      <c r="C30" s="113">
        <f>ROUND(C13/2,4)</f>
        <v>0.0515</v>
      </c>
      <c r="D30" s="12" t="s">
        <v>23</v>
      </c>
      <c r="E30" s="13"/>
      <c r="F30" s="8"/>
      <c r="G30" s="8">
        <f>G13</f>
        <v>148510</v>
      </c>
      <c r="H30" s="8">
        <f>INT(G30*C30)</f>
        <v>7648</v>
      </c>
      <c r="I30" s="8"/>
      <c r="J30" s="8"/>
      <c r="K30" s="8">
        <f t="shared" si="6"/>
        <v>148510</v>
      </c>
      <c r="L30" s="8">
        <f t="shared" si="7"/>
        <v>7648</v>
      </c>
      <c r="M30" s="112" t="s">
        <v>112</v>
      </c>
      <c r="N30" s="74"/>
      <c r="O30" s="45"/>
      <c r="P30" s="45"/>
    </row>
    <row r="31" spans="1:15" s="6" customFormat="1" ht="24.75" customHeight="1">
      <c r="A31" s="9" t="s">
        <v>36</v>
      </c>
      <c r="B31" s="10" t="s">
        <v>52</v>
      </c>
      <c r="C31" s="113">
        <f>ROUND(C14/2,4)</f>
        <v>0.041</v>
      </c>
      <c r="D31" s="12" t="s">
        <v>37</v>
      </c>
      <c r="E31" s="13">
        <f>E14</f>
        <v>20843</v>
      </c>
      <c r="F31" s="8">
        <f>INT(E31*C31)</f>
        <v>854</v>
      </c>
      <c r="G31" s="8">
        <f>G14</f>
        <v>47849</v>
      </c>
      <c r="H31" s="8">
        <f>INT(G31*C31)</f>
        <v>1961</v>
      </c>
      <c r="I31" s="8">
        <f>I14</f>
        <v>33324</v>
      </c>
      <c r="J31" s="8">
        <f>INT(I31*C31)</f>
        <v>1366</v>
      </c>
      <c r="K31" s="8">
        <f t="shared" si="6"/>
        <v>102016</v>
      </c>
      <c r="L31" s="8">
        <f t="shared" si="7"/>
        <v>4181</v>
      </c>
      <c r="M31" s="112" t="s">
        <v>112</v>
      </c>
      <c r="N31" s="75"/>
      <c r="O31" s="45"/>
    </row>
    <row r="32" spans="1:14" s="6" customFormat="1" ht="24.75" customHeight="1">
      <c r="A32" s="9" t="s">
        <v>93</v>
      </c>
      <c r="B32" s="10" t="s">
        <v>79</v>
      </c>
      <c r="C32" s="113">
        <f>ROUND(C15/2,4)</f>
        <v>0.031</v>
      </c>
      <c r="D32" s="12" t="s">
        <v>37</v>
      </c>
      <c r="E32" s="13">
        <f>E15</f>
        <v>5798</v>
      </c>
      <c r="F32" s="8">
        <f>INT(C32*E32)</f>
        <v>179</v>
      </c>
      <c r="G32" s="8">
        <f>G15</f>
        <v>39645</v>
      </c>
      <c r="H32" s="8">
        <f>INT(G32*C32)</f>
        <v>1228</v>
      </c>
      <c r="I32" s="8">
        <f>I15</f>
        <v>5965</v>
      </c>
      <c r="J32" s="8">
        <f>INT(C32*I32)</f>
        <v>184</v>
      </c>
      <c r="K32" s="8">
        <f t="shared" si="6"/>
        <v>51408</v>
      </c>
      <c r="L32" s="8">
        <f t="shared" si="7"/>
        <v>1591</v>
      </c>
      <c r="M32" s="112" t="s">
        <v>112</v>
      </c>
      <c r="N32" s="75"/>
    </row>
    <row r="33" spans="1:14" s="6" customFormat="1" ht="24.75" customHeight="1">
      <c r="A33" s="9" t="s">
        <v>87</v>
      </c>
      <c r="B33" s="10" t="s">
        <v>88</v>
      </c>
      <c r="C33" s="113">
        <f>ROUND(C16/2,4)</f>
        <v>0.041</v>
      </c>
      <c r="D33" s="12" t="s">
        <v>80</v>
      </c>
      <c r="E33" s="13">
        <f>E16</f>
        <v>7726</v>
      </c>
      <c r="F33" s="8">
        <f>C33*E33</f>
        <v>316.766</v>
      </c>
      <c r="G33" s="8">
        <f>G16</f>
        <v>29239.791666666664</v>
      </c>
      <c r="H33" s="8">
        <f>INT(G33*C33)</f>
        <v>1198</v>
      </c>
      <c r="I33" s="8">
        <f>I16</f>
        <v>3090</v>
      </c>
      <c r="J33" s="8">
        <f>INT(C33*I33)</f>
        <v>126</v>
      </c>
      <c r="K33" s="8">
        <f t="shared" si="6"/>
        <v>40055.791666666664</v>
      </c>
      <c r="L33" s="8">
        <f t="shared" si="7"/>
        <v>1640.766</v>
      </c>
      <c r="M33" s="112" t="s">
        <v>112</v>
      </c>
      <c r="N33" s="75"/>
    </row>
    <row r="34" spans="1:16" s="6" customFormat="1" ht="24.75" customHeight="1">
      <c r="A34" s="9" t="s">
        <v>40</v>
      </c>
      <c r="B34" s="10" t="s">
        <v>44</v>
      </c>
      <c r="C34" s="43">
        <v>1</v>
      </c>
      <c r="D34" s="12" t="s">
        <v>39</v>
      </c>
      <c r="E34" s="8">
        <f>INT(SUM(H29:H30)*3%)</f>
        <v>372</v>
      </c>
      <c r="F34" s="8">
        <f>INT(E34*C34)</f>
        <v>372</v>
      </c>
      <c r="G34" s="8"/>
      <c r="H34" s="8"/>
      <c r="I34" s="50"/>
      <c r="J34" s="8"/>
      <c r="K34" s="8">
        <f t="shared" si="6"/>
        <v>372</v>
      </c>
      <c r="L34" s="8">
        <f t="shared" si="7"/>
        <v>372</v>
      </c>
      <c r="M34" s="47"/>
      <c r="N34" s="76"/>
      <c r="O34" s="45"/>
      <c r="P34" s="49"/>
    </row>
    <row r="35" spans="1:14" s="6" customFormat="1" ht="24.75" customHeight="1">
      <c r="A35" s="44" t="s">
        <v>54</v>
      </c>
      <c r="B35" s="15"/>
      <c r="C35" s="11"/>
      <c r="D35" s="12"/>
      <c r="E35" s="8"/>
      <c r="F35" s="14">
        <f>SUM(F29:F34)</f>
        <v>1721.766</v>
      </c>
      <c r="G35" s="8"/>
      <c r="H35" s="14">
        <f>SUM(H29:H34)</f>
        <v>16814</v>
      </c>
      <c r="I35" s="8"/>
      <c r="J35" s="14">
        <f>SUM(J29:J34)</f>
        <v>1676</v>
      </c>
      <c r="K35" s="8"/>
      <c r="L35" s="14">
        <f t="shared" si="7"/>
        <v>20211.766</v>
      </c>
      <c r="M35" s="42"/>
      <c r="N35" s="73"/>
    </row>
    <row r="36" spans="1:14" s="6" customFormat="1" ht="24.75" customHeight="1">
      <c r="A36" s="106" t="s">
        <v>43</v>
      </c>
      <c r="B36" s="107"/>
      <c r="C36" s="108"/>
      <c r="D36" s="109"/>
      <c r="E36" s="98"/>
      <c r="F36" s="110">
        <f>SUM(F28,F35)</f>
        <v>106021.766</v>
      </c>
      <c r="G36" s="98"/>
      <c r="H36" s="110">
        <f>SUM(H28,H35)</f>
        <v>16814</v>
      </c>
      <c r="I36" s="98"/>
      <c r="J36" s="110">
        <f>SUM(J28,J35)</f>
        <v>1676</v>
      </c>
      <c r="K36" s="98"/>
      <c r="L36" s="110">
        <f t="shared" si="7"/>
        <v>124511.766</v>
      </c>
      <c r="M36" s="111"/>
      <c r="N36" s="73"/>
    </row>
    <row r="37" spans="1:14" s="6" customFormat="1" ht="24.75" customHeight="1">
      <c r="A37" s="195" t="s">
        <v>115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7"/>
      <c r="N37" s="71"/>
    </row>
    <row r="38" spans="1:14" s="6" customFormat="1" ht="24.75" customHeight="1">
      <c r="A38" s="9" t="s">
        <v>59</v>
      </c>
      <c r="B38" s="10" t="s">
        <v>116</v>
      </c>
      <c r="C38" s="118">
        <f>$C5/2</f>
        <v>0.5</v>
      </c>
      <c r="D38" s="12" t="s">
        <v>60</v>
      </c>
      <c r="E38" s="8">
        <f>E22</f>
        <v>73000</v>
      </c>
      <c r="F38" s="8">
        <f aca="true" t="shared" si="8" ref="F38:F43">INT(E38*C38)</f>
        <v>36500</v>
      </c>
      <c r="G38" s="8"/>
      <c r="H38" s="8"/>
      <c r="I38" s="8"/>
      <c r="J38" s="8"/>
      <c r="K38" s="8">
        <f aca="true" t="shared" si="9" ref="K38:K43">SUM(E38,G38,I38)</f>
        <v>73000</v>
      </c>
      <c r="L38" s="8">
        <f aca="true" t="shared" si="10" ref="L38:L43">SUM(F38,H38,J38)</f>
        <v>36500</v>
      </c>
      <c r="M38" s="41"/>
      <c r="N38" s="70"/>
    </row>
    <row r="39" spans="1:17" s="6" customFormat="1" ht="24.75" customHeight="1">
      <c r="A39" s="9" t="s">
        <v>113</v>
      </c>
      <c r="B39" s="10" t="s">
        <v>114</v>
      </c>
      <c r="C39" s="118">
        <v>1</v>
      </c>
      <c r="D39" s="12" t="s">
        <v>62</v>
      </c>
      <c r="E39" s="8">
        <v>111000</v>
      </c>
      <c r="F39" s="8">
        <f t="shared" si="8"/>
        <v>111000</v>
      </c>
      <c r="G39" s="8"/>
      <c r="H39" s="8"/>
      <c r="I39" s="8"/>
      <c r="J39" s="8"/>
      <c r="K39" s="8">
        <f t="shared" si="9"/>
        <v>111000</v>
      </c>
      <c r="L39" s="8">
        <f t="shared" si="10"/>
        <v>111000</v>
      </c>
      <c r="M39" s="51"/>
      <c r="N39" s="70"/>
      <c r="P39" s="45"/>
      <c r="Q39" s="45"/>
    </row>
    <row r="40" spans="1:14" s="6" customFormat="1" ht="24.75" customHeight="1">
      <c r="A40" s="9" t="s">
        <v>64</v>
      </c>
      <c r="B40" s="10" t="s">
        <v>73</v>
      </c>
      <c r="C40" s="118">
        <f>$C7/2</f>
        <v>0.5</v>
      </c>
      <c r="D40" s="12" t="s">
        <v>63</v>
      </c>
      <c r="E40" s="8">
        <f>E24</f>
        <v>2300</v>
      </c>
      <c r="F40" s="8">
        <f t="shared" si="8"/>
        <v>1150</v>
      </c>
      <c r="G40" s="8"/>
      <c r="H40" s="8"/>
      <c r="I40" s="8"/>
      <c r="J40" s="8"/>
      <c r="K40" s="8">
        <f t="shared" si="9"/>
        <v>2300</v>
      </c>
      <c r="L40" s="8">
        <f t="shared" si="10"/>
        <v>1150</v>
      </c>
      <c r="M40" s="48"/>
      <c r="N40" s="70"/>
    </row>
    <row r="41" spans="1:14" s="6" customFormat="1" ht="24.75" customHeight="1">
      <c r="A41" s="9" t="s">
        <v>65</v>
      </c>
      <c r="B41" s="10" t="s">
        <v>68</v>
      </c>
      <c r="C41" s="118">
        <f>$C8/2</f>
        <v>0.5</v>
      </c>
      <c r="D41" s="12" t="s">
        <v>66</v>
      </c>
      <c r="E41" s="8">
        <f>E25</f>
        <v>2100</v>
      </c>
      <c r="F41" s="8">
        <f t="shared" si="8"/>
        <v>1050</v>
      </c>
      <c r="G41" s="8"/>
      <c r="H41" s="8"/>
      <c r="I41" s="8"/>
      <c r="J41" s="8"/>
      <c r="K41" s="8">
        <f t="shared" si="9"/>
        <v>2100</v>
      </c>
      <c r="L41" s="8">
        <f t="shared" si="10"/>
        <v>1050</v>
      </c>
      <c r="M41" s="48"/>
      <c r="N41" s="70"/>
    </row>
    <row r="42" spans="1:14" s="6" customFormat="1" ht="24.75" customHeight="1">
      <c r="A42" s="9" t="s">
        <v>67</v>
      </c>
      <c r="B42" s="10" t="s">
        <v>69</v>
      </c>
      <c r="C42" s="119">
        <v>2</v>
      </c>
      <c r="D42" s="12" t="s">
        <v>66</v>
      </c>
      <c r="E42" s="8">
        <f>E26</f>
        <v>900</v>
      </c>
      <c r="F42" s="8">
        <f t="shared" si="8"/>
        <v>1800</v>
      </c>
      <c r="G42" s="8"/>
      <c r="H42" s="8"/>
      <c r="I42" s="8"/>
      <c r="J42" s="8"/>
      <c r="K42" s="8">
        <f t="shared" si="9"/>
        <v>900</v>
      </c>
      <c r="L42" s="8">
        <f t="shared" si="10"/>
        <v>1800</v>
      </c>
      <c r="M42" s="48"/>
      <c r="N42" s="70"/>
    </row>
    <row r="43" spans="1:14" s="6" customFormat="1" ht="24.75" customHeight="1">
      <c r="A43" s="9" t="s">
        <v>84</v>
      </c>
      <c r="B43" s="10" t="s">
        <v>85</v>
      </c>
      <c r="C43" s="118">
        <f>$C10/2</f>
        <v>0.5</v>
      </c>
      <c r="D43" s="12" t="s">
        <v>63</v>
      </c>
      <c r="E43" s="8">
        <f>E27</f>
        <v>30000</v>
      </c>
      <c r="F43" s="8">
        <f t="shared" si="8"/>
        <v>15000</v>
      </c>
      <c r="G43" s="8"/>
      <c r="H43" s="8"/>
      <c r="I43" s="8"/>
      <c r="J43" s="8"/>
      <c r="K43" s="8">
        <f t="shared" si="9"/>
        <v>30000</v>
      </c>
      <c r="L43" s="8">
        <f t="shared" si="10"/>
        <v>15000</v>
      </c>
      <c r="M43" s="48"/>
      <c r="N43" s="72"/>
    </row>
    <row r="44" spans="1:15" s="6" customFormat="1" ht="24.75" customHeight="1">
      <c r="A44" s="44" t="s">
        <v>53</v>
      </c>
      <c r="B44" s="15"/>
      <c r="C44" s="11"/>
      <c r="D44" s="12"/>
      <c r="E44" s="8"/>
      <c r="F44" s="14">
        <f>SUM(F38:F43)</f>
        <v>166500</v>
      </c>
      <c r="G44" s="8"/>
      <c r="H44" s="14"/>
      <c r="I44" s="8"/>
      <c r="J44" s="14"/>
      <c r="K44" s="8"/>
      <c r="L44" s="14">
        <f>SUM(L38:L43)</f>
        <v>166500</v>
      </c>
      <c r="M44" s="90"/>
      <c r="N44" s="73"/>
      <c r="O44" s="45"/>
    </row>
    <row r="45" spans="1:19" s="6" customFormat="1" ht="24.75" customHeight="1">
      <c r="A45" s="100" t="s">
        <v>45</v>
      </c>
      <c r="B45" s="10" t="s">
        <v>45</v>
      </c>
      <c r="C45" s="113">
        <f>C29</f>
        <v>0.0255</v>
      </c>
      <c r="D45" s="12" t="s">
        <v>23</v>
      </c>
      <c r="E45" s="13"/>
      <c r="F45" s="8"/>
      <c r="G45" s="8">
        <f>G29</f>
        <v>187435</v>
      </c>
      <c r="H45" s="8">
        <f>INT(G45*C45)</f>
        <v>4779</v>
      </c>
      <c r="I45" s="8"/>
      <c r="J45" s="8"/>
      <c r="K45" s="8">
        <f aca="true" t="shared" si="11" ref="K45:K50">SUM(E45,G45,I45)</f>
        <v>187435</v>
      </c>
      <c r="L45" s="8">
        <f aca="true" t="shared" si="12" ref="L45:L52">SUM(F45,H45,J45)</f>
        <v>4779</v>
      </c>
      <c r="M45" s="112" t="s">
        <v>112</v>
      </c>
      <c r="N45" s="74"/>
      <c r="O45" s="45"/>
      <c r="P45" s="45"/>
      <c r="Q45" s="45"/>
      <c r="R45" s="49"/>
      <c r="S45" s="49"/>
    </row>
    <row r="46" spans="1:16" s="6" customFormat="1" ht="24.75" customHeight="1">
      <c r="A46" s="100" t="s">
        <v>38</v>
      </c>
      <c r="B46" s="10" t="s">
        <v>38</v>
      </c>
      <c r="C46" s="113">
        <f>C30</f>
        <v>0.0515</v>
      </c>
      <c r="D46" s="12" t="s">
        <v>23</v>
      </c>
      <c r="E46" s="13"/>
      <c r="F46" s="8"/>
      <c r="G46" s="8">
        <f aca="true" t="shared" si="13" ref="E46:G49">G30</f>
        <v>148510</v>
      </c>
      <c r="H46" s="8">
        <f>INT(G46*C46)</f>
        <v>7648</v>
      </c>
      <c r="I46" s="8"/>
      <c r="J46" s="8"/>
      <c r="K46" s="8">
        <f t="shared" si="11"/>
        <v>148510</v>
      </c>
      <c r="L46" s="8">
        <f t="shared" si="12"/>
        <v>7648</v>
      </c>
      <c r="M46" s="112" t="s">
        <v>112</v>
      </c>
      <c r="N46" s="74"/>
      <c r="O46" s="45"/>
      <c r="P46" s="45"/>
    </row>
    <row r="47" spans="1:15" s="6" customFormat="1" ht="24.75" customHeight="1">
      <c r="A47" s="9" t="s">
        <v>36</v>
      </c>
      <c r="B47" s="10" t="s">
        <v>52</v>
      </c>
      <c r="C47" s="113">
        <f>C31</f>
        <v>0.041</v>
      </c>
      <c r="D47" s="12" t="s">
        <v>37</v>
      </c>
      <c r="E47" s="8">
        <f t="shared" si="13"/>
        <v>20843</v>
      </c>
      <c r="F47" s="8">
        <f>INT(E47*C47)</f>
        <v>854</v>
      </c>
      <c r="G47" s="8">
        <f t="shared" si="13"/>
        <v>47849</v>
      </c>
      <c r="H47" s="8">
        <f>INT(G47*C47)</f>
        <v>1961</v>
      </c>
      <c r="I47" s="8">
        <f>I31</f>
        <v>33324</v>
      </c>
      <c r="J47" s="8">
        <f>INT(I47*C47)</f>
        <v>1366</v>
      </c>
      <c r="K47" s="8">
        <f t="shared" si="11"/>
        <v>102016</v>
      </c>
      <c r="L47" s="8">
        <f t="shared" si="12"/>
        <v>4181</v>
      </c>
      <c r="M47" s="112" t="s">
        <v>112</v>
      </c>
      <c r="N47" s="75"/>
      <c r="O47" s="45"/>
    </row>
    <row r="48" spans="1:14" s="6" customFormat="1" ht="24.75" customHeight="1">
      <c r="A48" s="9" t="s">
        <v>93</v>
      </c>
      <c r="B48" s="10" t="s">
        <v>79</v>
      </c>
      <c r="C48" s="113">
        <f>C32</f>
        <v>0.031</v>
      </c>
      <c r="D48" s="12" t="s">
        <v>37</v>
      </c>
      <c r="E48" s="8">
        <f t="shared" si="13"/>
        <v>5798</v>
      </c>
      <c r="F48" s="8">
        <f>INT(C48*E48)</f>
        <v>179</v>
      </c>
      <c r="G48" s="8">
        <f t="shared" si="13"/>
        <v>39645</v>
      </c>
      <c r="H48" s="8">
        <f>INT(G48*C48)</f>
        <v>1228</v>
      </c>
      <c r="I48" s="8">
        <f>I32</f>
        <v>5965</v>
      </c>
      <c r="J48" s="8">
        <f>INT(C48*I48)</f>
        <v>184</v>
      </c>
      <c r="K48" s="8">
        <f t="shared" si="11"/>
        <v>51408</v>
      </c>
      <c r="L48" s="8">
        <f t="shared" si="12"/>
        <v>1591</v>
      </c>
      <c r="M48" s="112" t="s">
        <v>112</v>
      </c>
      <c r="N48" s="75"/>
    </row>
    <row r="49" spans="1:14" s="6" customFormat="1" ht="24.75" customHeight="1">
      <c r="A49" s="9" t="s">
        <v>87</v>
      </c>
      <c r="B49" s="10" t="s">
        <v>88</v>
      </c>
      <c r="C49" s="113">
        <f>C33</f>
        <v>0.041</v>
      </c>
      <c r="D49" s="12" t="s">
        <v>80</v>
      </c>
      <c r="E49" s="8">
        <f t="shared" si="13"/>
        <v>7726</v>
      </c>
      <c r="F49" s="8">
        <f>C49*E49</f>
        <v>316.766</v>
      </c>
      <c r="G49" s="8">
        <f t="shared" si="13"/>
        <v>29239.791666666664</v>
      </c>
      <c r="H49" s="8">
        <f>INT(G49*C49)</f>
        <v>1198</v>
      </c>
      <c r="I49" s="8">
        <f>I33</f>
        <v>3090</v>
      </c>
      <c r="J49" s="8">
        <f>INT(C49*I49)</f>
        <v>126</v>
      </c>
      <c r="K49" s="8">
        <f t="shared" si="11"/>
        <v>40055.791666666664</v>
      </c>
      <c r="L49" s="8">
        <f t="shared" si="12"/>
        <v>1640.766</v>
      </c>
      <c r="M49" s="112" t="s">
        <v>112</v>
      </c>
      <c r="N49" s="75"/>
    </row>
    <row r="50" spans="1:16" s="6" customFormat="1" ht="24.75" customHeight="1">
      <c r="A50" s="9" t="s">
        <v>40</v>
      </c>
      <c r="B50" s="10" t="s">
        <v>44</v>
      </c>
      <c r="C50" s="43">
        <v>1</v>
      </c>
      <c r="D50" s="12" t="s">
        <v>39</v>
      </c>
      <c r="E50" s="8">
        <f>INT(SUM(H45:H46)*3%)</f>
        <v>372</v>
      </c>
      <c r="F50" s="8">
        <f>INT(E50*C50)</f>
        <v>372</v>
      </c>
      <c r="G50" s="8"/>
      <c r="H50" s="8"/>
      <c r="I50" s="50"/>
      <c r="J50" s="8"/>
      <c r="K50" s="8">
        <f t="shared" si="11"/>
        <v>372</v>
      </c>
      <c r="L50" s="8">
        <f t="shared" si="12"/>
        <v>372</v>
      </c>
      <c r="M50" s="47"/>
      <c r="N50" s="76"/>
      <c r="O50" s="45"/>
      <c r="P50" s="49"/>
    </row>
    <row r="51" spans="1:14" s="6" customFormat="1" ht="24.75" customHeight="1">
      <c r="A51" s="44" t="s">
        <v>54</v>
      </c>
      <c r="B51" s="15"/>
      <c r="C51" s="11"/>
      <c r="D51" s="12"/>
      <c r="E51" s="8"/>
      <c r="F51" s="14">
        <f>SUM(F45:F50)</f>
        <v>1721.766</v>
      </c>
      <c r="G51" s="8"/>
      <c r="H51" s="14">
        <f>SUM(H45:H50)</f>
        <v>16814</v>
      </c>
      <c r="I51" s="8"/>
      <c r="J51" s="14">
        <f>SUM(J45:J50)</f>
        <v>1676</v>
      </c>
      <c r="K51" s="8"/>
      <c r="L51" s="14">
        <f t="shared" si="12"/>
        <v>20211.766</v>
      </c>
      <c r="M51" s="42"/>
      <c r="N51" s="73"/>
    </row>
    <row r="52" spans="1:14" s="6" customFormat="1" ht="24.75" customHeight="1">
      <c r="A52" s="106" t="s">
        <v>43</v>
      </c>
      <c r="B52" s="107"/>
      <c r="C52" s="108"/>
      <c r="D52" s="109"/>
      <c r="E52" s="98"/>
      <c r="F52" s="110">
        <f>SUM(F44,F51)</f>
        <v>168221.766</v>
      </c>
      <c r="G52" s="98"/>
      <c r="H52" s="110">
        <f>SUM(H44,H51)</f>
        <v>16814</v>
      </c>
      <c r="I52" s="98"/>
      <c r="J52" s="110">
        <f>SUM(J44,J51)</f>
        <v>1676</v>
      </c>
      <c r="K52" s="98"/>
      <c r="L52" s="110">
        <f t="shared" si="12"/>
        <v>186711.766</v>
      </c>
      <c r="M52" s="111"/>
      <c r="N52" s="73"/>
    </row>
  </sheetData>
  <sheetProtection/>
  <mergeCells count="14">
    <mergeCell ref="A21:M21"/>
    <mergeCell ref="C20:D20"/>
    <mergeCell ref="A37:M37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A4:M4"/>
  </mergeCells>
  <printOptions horizontalCentered="1"/>
  <pageMargins left="0.4724409448818898" right="0.2362204724409449" top="1.062992125984252" bottom="0.31496062992125984" header="0.6299212598425197" footer="0.15748031496062992"/>
  <pageSetup horizontalDpi="300" verticalDpi="300" orientation="landscape" paperSize="9" scale="78" r:id="rId1"/>
  <headerFooter alignWithMargins="0">
    <oddHeader>&amp;C&amp;"굴림체,굵게"&amp;16일   위   대   가   표&amp;R&amp;10
</oddHeader>
    <oddFooter>&amp;R&amp;8SGS-H775 / 2015-02-09</oddFooter>
  </headerFooter>
  <rowBreaks count="2" manualBreakCount="2">
    <brk id="20" max="12" man="1"/>
    <brk id="3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="90" zoomScaleSheetLayoutView="90" zoomScalePageLayoutView="0" workbookViewId="0" topLeftCell="A1">
      <selection activeCell="M1" sqref="M1:M16384"/>
    </sheetView>
  </sheetViews>
  <sheetFormatPr defaultColWidth="7.10546875" defaultRowHeight="29.25" customHeight="1"/>
  <cols>
    <col min="1" max="1" width="18.3359375" style="3" customWidth="1"/>
    <col min="2" max="2" width="12.5546875" style="4" customWidth="1"/>
    <col min="3" max="3" width="5.88671875" style="3" customWidth="1"/>
    <col min="4" max="4" width="4.77734375" style="5" customWidth="1"/>
    <col min="5" max="12" width="9.77734375" style="1" customWidth="1"/>
    <col min="13" max="13" width="33.77734375" style="17" customWidth="1"/>
    <col min="14" max="18" width="7.10546875" style="3" customWidth="1"/>
    <col min="19" max="19" width="8.10546875" style="3" customWidth="1"/>
    <col min="20" max="16384" width="7.10546875" style="3" customWidth="1"/>
  </cols>
  <sheetData>
    <row r="1" spans="1:13" ht="24" customHeight="1">
      <c r="A1" s="200" t="s">
        <v>25</v>
      </c>
      <c r="B1" s="202" t="s">
        <v>26</v>
      </c>
      <c r="C1" s="202" t="s">
        <v>27</v>
      </c>
      <c r="D1" s="202" t="s">
        <v>28</v>
      </c>
      <c r="E1" s="189" t="s">
        <v>29</v>
      </c>
      <c r="F1" s="189"/>
      <c r="G1" s="189" t="s">
        <v>30</v>
      </c>
      <c r="H1" s="189"/>
      <c r="I1" s="189" t="s">
        <v>31</v>
      </c>
      <c r="J1" s="189"/>
      <c r="K1" s="189" t="s">
        <v>32</v>
      </c>
      <c r="L1" s="189"/>
      <c r="M1" s="212" t="s">
        <v>33</v>
      </c>
    </row>
    <row r="2" spans="1:13" ht="24" customHeight="1">
      <c r="A2" s="211"/>
      <c r="B2" s="210"/>
      <c r="C2" s="210"/>
      <c r="D2" s="210"/>
      <c r="E2" s="91" t="s">
        <v>34</v>
      </c>
      <c r="F2" s="91" t="s">
        <v>35</v>
      </c>
      <c r="G2" s="91" t="s">
        <v>34</v>
      </c>
      <c r="H2" s="91" t="s">
        <v>35</v>
      </c>
      <c r="I2" s="91" t="s">
        <v>34</v>
      </c>
      <c r="J2" s="91" t="s">
        <v>35</v>
      </c>
      <c r="K2" s="91" t="s">
        <v>34</v>
      </c>
      <c r="L2" s="91" t="s">
        <v>35</v>
      </c>
      <c r="M2" s="213"/>
    </row>
    <row r="3" spans="1:13" ht="24" customHeight="1">
      <c r="A3" s="207" t="s">
        <v>58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9"/>
    </row>
    <row r="4" spans="1:19" ht="24" customHeight="1">
      <c r="A4" s="9" t="s">
        <v>109</v>
      </c>
      <c r="B4" s="16" t="s">
        <v>47</v>
      </c>
      <c r="C4" s="11">
        <v>1</v>
      </c>
      <c r="D4" s="12" t="s">
        <v>110</v>
      </c>
      <c r="E4" s="8"/>
      <c r="F4" s="8"/>
      <c r="G4" s="8"/>
      <c r="H4" s="8"/>
      <c r="I4" s="8">
        <f>Q4*R4*S4</f>
        <v>24867.080599999998</v>
      </c>
      <c r="J4" s="8">
        <f>INT(I4*C4)</f>
        <v>24867</v>
      </c>
      <c r="K4" s="8">
        <f aca="true" t="shared" si="0" ref="K4:L8">SUM(E4,G4,I4)</f>
        <v>24867.080599999998</v>
      </c>
      <c r="L4" s="8">
        <f t="shared" si="0"/>
        <v>24867</v>
      </c>
      <c r="M4" s="90" t="str">
        <f>O4&amp;"년 건설공사표준품셈(대한건설협회) P."&amp;P4&amp;"
기계값x시간당손료율="&amp;Q4&amp;"x"&amp;R4&amp;"x"&amp;S4</f>
        <v>2022년 건설공사표준품셈(대한건설협회) P.651,702,718
기계값x시간당손료율=109114000x2279x0.0000001</v>
      </c>
      <c r="O4" s="5">
        <f>base!A9</f>
        <v>2022</v>
      </c>
      <c r="P4" s="5" t="str">
        <f>base!B9</f>
        <v>651,702,718</v>
      </c>
      <c r="Q4" s="5">
        <f>base!G9</f>
        <v>109114000</v>
      </c>
      <c r="R4" s="156">
        <f>base!H9</f>
        <v>2279</v>
      </c>
      <c r="S4" s="157">
        <f>base!I9</f>
        <v>1E-07</v>
      </c>
    </row>
    <row r="5" spans="1:19" ht="24" customHeight="1">
      <c r="A5" s="9" t="s">
        <v>48</v>
      </c>
      <c r="B5" s="16"/>
      <c r="C5" s="11">
        <v>1</v>
      </c>
      <c r="D5" s="12" t="s">
        <v>37</v>
      </c>
      <c r="E5" s="8"/>
      <c r="F5" s="8"/>
      <c r="G5" s="8"/>
      <c r="H5" s="8"/>
      <c r="I5" s="8">
        <f>Q5*R5*S5</f>
        <v>8457.2012</v>
      </c>
      <c r="J5" s="8">
        <f>INT(I5*C5)</f>
        <v>8457</v>
      </c>
      <c r="K5" s="8">
        <f t="shared" si="0"/>
        <v>8457.2012</v>
      </c>
      <c r="L5" s="8">
        <f t="shared" si="0"/>
        <v>8457</v>
      </c>
      <c r="M5" s="90" t="str">
        <f>O5&amp;"년 건설공사표준품셈(대한건설협회) P."&amp;P5&amp;"
기계값x시간당손료율="&amp;Q5&amp;"x"&amp;R5&amp;"x"&amp;S5</f>
        <v>2022년 건설공사표준품셈(대한건설협회) P.652,718
기계값x시간당손료율=12812000x6601x0.0000001</v>
      </c>
      <c r="O5" s="5">
        <f>base!A10</f>
        <v>2022</v>
      </c>
      <c r="P5" s="5" t="str">
        <f>base!B10</f>
        <v>652,718</v>
      </c>
      <c r="Q5" s="5">
        <f>base!G10</f>
        <v>12812000</v>
      </c>
      <c r="R5" s="156">
        <f>base!H10</f>
        <v>6601</v>
      </c>
      <c r="S5" s="157">
        <f>base!I10</f>
        <v>1E-07</v>
      </c>
    </row>
    <row r="6" spans="1:20" ht="24" customHeight="1">
      <c r="A6" s="9" t="s">
        <v>49</v>
      </c>
      <c r="B6" s="16" t="s">
        <v>117</v>
      </c>
      <c r="C6" s="11">
        <v>11.6</v>
      </c>
      <c r="D6" s="39" t="s">
        <v>118</v>
      </c>
      <c r="E6" s="55">
        <f>base!G26</f>
        <v>1449.090909090909</v>
      </c>
      <c r="F6" s="8">
        <f>INT(E6*C6)</f>
        <v>16809</v>
      </c>
      <c r="G6" s="8"/>
      <c r="H6" s="8"/>
      <c r="I6" s="8"/>
      <c r="J6" s="8"/>
      <c r="K6" s="8">
        <f t="shared" si="0"/>
        <v>1449.090909090909</v>
      </c>
      <c r="L6" s="8">
        <f t="shared" si="0"/>
        <v>16809</v>
      </c>
      <c r="M6" s="84" t="str">
        <f>O6&amp;".0"&amp;P6&amp;" "&amp;Q6&amp;" P."&amp;R6</f>
        <v>2022.01 거래가격 P.1435</v>
      </c>
      <c r="N6" s="82"/>
      <c r="O6" s="85">
        <f>base!A26</f>
        <v>2022</v>
      </c>
      <c r="P6" s="85">
        <f>base!B26</f>
        <v>1</v>
      </c>
      <c r="Q6" s="85" t="str">
        <f>base!C26</f>
        <v>거래가격</v>
      </c>
      <c r="R6" s="85">
        <f>base!D26</f>
        <v>1435</v>
      </c>
      <c r="S6" s="85"/>
      <c r="T6" s="82"/>
    </row>
    <row r="7" spans="1:13" ht="24" customHeight="1">
      <c r="A7" s="9" t="s">
        <v>51</v>
      </c>
      <c r="B7" s="16" t="s">
        <v>111</v>
      </c>
      <c r="C7" s="11">
        <v>0.24</v>
      </c>
      <c r="D7" s="40" t="s">
        <v>39</v>
      </c>
      <c r="E7" s="8">
        <f>(F6)</f>
        <v>16809</v>
      </c>
      <c r="F7" s="8">
        <f>INT(E7*C7)</f>
        <v>4034</v>
      </c>
      <c r="G7" s="8"/>
      <c r="H7" s="8"/>
      <c r="I7" s="8"/>
      <c r="J7" s="8"/>
      <c r="K7" s="8">
        <f t="shared" si="0"/>
        <v>16809</v>
      </c>
      <c r="L7" s="8">
        <f t="shared" si="0"/>
        <v>4034</v>
      </c>
      <c r="M7" s="46"/>
    </row>
    <row r="8" spans="1:13" ht="24" customHeight="1">
      <c r="A8" s="9" t="s">
        <v>56</v>
      </c>
      <c r="B8" s="16"/>
      <c r="C8" s="88">
        <f>((1/8)*(16/12)*(25/20))</f>
        <v>0.20833333333333331</v>
      </c>
      <c r="D8" s="40" t="s">
        <v>23</v>
      </c>
      <c r="E8" s="8"/>
      <c r="F8" s="8"/>
      <c r="G8" s="8">
        <f>G25</f>
        <v>229676</v>
      </c>
      <c r="H8" s="8">
        <f>INT(G8*C8)</f>
        <v>47849</v>
      </c>
      <c r="I8" s="8"/>
      <c r="J8" s="8"/>
      <c r="K8" s="8">
        <f t="shared" si="0"/>
        <v>229676</v>
      </c>
      <c r="L8" s="8">
        <f t="shared" si="0"/>
        <v>47849</v>
      </c>
      <c r="M8" s="89" t="s">
        <v>105</v>
      </c>
    </row>
    <row r="9" spans="1:13" s="18" customFormat="1" ht="24" customHeight="1">
      <c r="A9" s="60" t="s">
        <v>46</v>
      </c>
      <c r="B9" s="57"/>
      <c r="C9" s="58"/>
      <c r="D9" s="59"/>
      <c r="E9" s="67"/>
      <c r="F9" s="67">
        <f>SUM(F4:F8)</f>
        <v>20843</v>
      </c>
      <c r="G9" s="67"/>
      <c r="H9" s="67">
        <f>SUM(H4:H8)</f>
        <v>47849</v>
      </c>
      <c r="I9" s="67"/>
      <c r="J9" s="67">
        <f>SUM(J4:J8)</f>
        <v>33324</v>
      </c>
      <c r="K9" s="67"/>
      <c r="L9" s="67">
        <f>SUM(L4:L8)</f>
        <v>102016</v>
      </c>
      <c r="M9" s="61"/>
    </row>
    <row r="10" spans="1:13" ht="24" customHeight="1">
      <c r="A10" s="207" t="s">
        <v>90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9"/>
    </row>
    <row r="11" spans="1:22" ht="24" customHeight="1">
      <c r="A11" s="62" t="s">
        <v>106</v>
      </c>
      <c r="B11" s="53" t="s">
        <v>107</v>
      </c>
      <c r="C11" s="52">
        <v>1</v>
      </c>
      <c r="D11" s="54" t="s">
        <v>104</v>
      </c>
      <c r="E11" s="55"/>
      <c r="F11" s="55"/>
      <c r="G11" s="55"/>
      <c r="H11" s="55"/>
      <c r="I11" s="8">
        <f>Q11*R11*S11</f>
        <v>5965.153499999999</v>
      </c>
      <c r="J11" s="8">
        <f>INT(I11*C11)</f>
        <v>5965</v>
      </c>
      <c r="K11" s="8">
        <f aca="true" t="shared" si="1" ref="K11:L14">SUM(E11,G11,I11)</f>
        <v>5965.153499999999</v>
      </c>
      <c r="L11" s="8">
        <f t="shared" si="1"/>
        <v>5965</v>
      </c>
      <c r="M11" s="90" t="str">
        <f>O11&amp;"년 건설공사표준품셈(대한건설협회) P."&amp;P11&amp;"
기계값x시간당손료율="&amp;Q11&amp;"x"&amp;R11&amp;"x"&amp;S11</f>
        <v>2022년 건설공사표준품셈(대한건설협회) P.655,703,719
기계값x시간당손료율=20105000x2967x0.0000001</v>
      </c>
      <c r="O11" s="5">
        <f>base!A11</f>
        <v>2022</v>
      </c>
      <c r="P11" s="5" t="str">
        <f>base!B11</f>
        <v>655,703,719</v>
      </c>
      <c r="Q11" s="5">
        <f>base!G11</f>
        <v>20105000</v>
      </c>
      <c r="R11" s="156">
        <f>base!H11</f>
        <v>2967</v>
      </c>
      <c r="S11" s="157">
        <f>base!I11</f>
        <v>1E-07</v>
      </c>
      <c r="T11" s="82"/>
      <c r="U11" s="82"/>
      <c r="V11" s="82"/>
    </row>
    <row r="12" spans="1:22" ht="24" customHeight="1">
      <c r="A12" s="9" t="s">
        <v>49</v>
      </c>
      <c r="B12" s="16" t="str">
        <f>B6</f>
        <v>0.001W% S</v>
      </c>
      <c r="C12" s="56">
        <v>2.9</v>
      </c>
      <c r="D12" s="83" t="s">
        <v>50</v>
      </c>
      <c r="E12" s="55">
        <f>E6</f>
        <v>1449.090909090909</v>
      </c>
      <c r="F12" s="55">
        <f>INT(E12*C12)</f>
        <v>4202</v>
      </c>
      <c r="G12" s="55"/>
      <c r="H12" s="55"/>
      <c r="I12" s="55"/>
      <c r="J12" s="55"/>
      <c r="K12" s="8">
        <f t="shared" si="1"/>
        <v>1449.090909090909</v>
      </c>
      <c r="L12" s="55">
        <f t="shared" si="1"/>
        <v>4202</v>
      </c>
      <c r="M12" s="84" t="str">
        <f>M6</f>
        <v>2022.01 거래가격 P.1435</v>
      </c>
      <c r="N12" s="82"/>
      <c r="O12" s="85"/>
      <c r="P12" s="85"/>
      <c r="Q12" s="85"/>
      <c r="R12" s="85"/>
      <c r="S12" s="85"/>
      <c r="T12" s="82"/>
      <c r="U12" s="82"/>
      <c r="V12" s="82"/>
    </row>
    <row r="13" spans="1:22" ht="24" customHeight="1">
      <c r="A13" s="62" t="s">
        <v>51</v>
      </c>
      <c r="B13" s="53" t="s">
        <v>108</v>
      </c>
      <c r="C13" s="52">
        <v>0.38</v>
      </c>
      <c r="D13" s="54" t="s">
        <v>39</v>
      </c>
      <c r="E13" s="55">
        <f>F12</f>
        <v>4202</v>
      </c>
      <c r="F13" s="55">
        <f>INT(E13*C13)</f>
        <v>1596</v>
      </c>
      <c r="G13" s="55"/>
      <c r="H13" s="55"/>
      <c r="I13" s="55"/>
      <c r="J13" s="55"/>
      <c r="K13" s="8">
        <f t="shared" si="1"/>
        <v>4202</v>
      </c>
      <c r="L13" s="55">
        <f t="shared" si="1"/>
        <v>1596</v>
      </c>
      <c r="M13" s="86"/>
      <c r="N13" s="87"/>
      <c r="O13" s="87"/>
      <c r="P13" s="87"/>
      <c r="Q13" s="87"/>
      <c r="R13" s="87"/>
      <c r="S13" s="87"/>
      <c r="T13" s="87"/>
      <c r="U13" s="87"/>
      <c r="V13" s="87"/>
    </row>
    <row r="14" spans="1:13" ht="24" customHeight="1">
      <c r="A14" s="62" t="s">
        <v>81</v>
      </c>
      <c r="B14" s="53"/>
      <c r="C14" s="88">
        <f>((1/8)*(16/12)*(25/20))</f>
        <v>0.20833333333333331</v>
      </c>
      <c r="D14" s="54" t="s">
        <v>82</v>
      </c>
      <c r="E14" s="55"/>
      <c r="F14" s="55"/>
      <c r="G14" s="55">
        <f>L26</f>
        <v>190297</v>
      </c>
      <c r="H14" s="8">
        <f>INT(G14*C14)</f>
        <v>39645</v>
      </c>
      <c r="I14" s="55"/>
      <c r="J14" s="55"/>
      <c r="K14" s="8">
        <f t="shared" si="1"/>
        <v>190297</v>
      </c>
      <c r="L14" s="8">
        <f t="shared" si="1"/>
        <v>39645</v>
      </c>
      <c r="M14" s="89" t="s">
        <v>57</v>
      </c>
    </row>
    <row r="15" spans="1:13" ht="24" customHeight="1">
      <c r="A15" s="65" t="s">
        <v>83</v>
      </c>
      <c r="B15" s="66"/>
      <c r="C15" s="52"/>
      <c r="D15" s="54"/>
      <c r="E15" s="55"/>
      <c r="F15" s="67">
        <f>SUM(F11:F14)</f>
        <v>5798</v>
      </c>
      <c r="G15" s="55"/>
      <c r="H15" s="67">
        <f>SUM(H11:H14)</f>
        <v>39645</v>
      </c>
      <c r="I15" s="55"/>
      <c r="J15" s="67">
        <f>SUM(J11:J14)</f>
        <v>5965</v>
      </c>
      <c r="K15" s="55"/>
      <c r="L15" s="67">
        <f>SUM(L11:L14)</f>
        <v>51408</v>
      </c>
      <c r="M15" s="68"/>
    </row>
    <row r="16" spans="1:13" ht="24" customHeight="1">
      <c r="A16" s="207" t="s">
        <v>92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9"/>
    </row>
    <row r="17" spans="1:19" s="82" customFormat="1" ht="24" customHeight="1">
      <c r="A17" s="62" t="s">
        <v>102</v>
      </c>
      <c r="B17" s="53" t="s">
        <v>103</v>
      </c>
      <c r="C17" s="52">
        <v>1</v>
      </c>
      <c r="D17" s="54" t="s">
        <v>104</v>
      </c>
      <c r="E17" s="55"/>
      <c r="F17" s="55"/>
      <c r="G17" s="55"/>
      <c r="H17" s="55"/>
      <c r="I17" s="8">
        <f>Q17*R17*S17</f>
        <v>3090.6769999999997</v>
      </c>
      <c r="J17" s="8">
        <f>INT(I17*C17)</f>
        <v>3090</v>
      </c>
      <c r="K17" s="8">
        <f aca="true" t="shared" si="2" ref="K17:L20">SUM(E17,G17,I17)</f>
        <v>3090.6769999999997</v>
      </c>
      <c r="L17" s="8">
        <f t="shared" si="2"/>
        <v>3090</v>
      </c>
      <c r="M17" s="90" t="str">
        <f>O17&amp;"년 건설공사표준품셈(대한건설협회) P."&amp;P17&amp;"
기계값x시간당손료율="&amp;Q17&amp;"x"&amp;R17&amp;"x"&amp;S17</f>
        <v>2022년 건설공사표준품셈(대한건설협회) P.691,712,730
기계값x시간당손료율=13085000x2362x0.0000001</v>
      </c>
      <c r="N17" s="3"/>
      <c r="O17" s="5">
        <f>base!A7</f>
        <v>2022</v>
      </c>
      <c r="P17" s="5" t="str">
        <f>base!B7</f>
        <v>691,712,730</v>
      </c>
      <c r="Q17" s="5">
        <f>base!G7</f>
        <v>13085000</v>
      </c>
      <c r="R17" s="5">
        <f>base!H7</f>
        <v>2362</v>
      </c>
      <c r="S17" s="5">
        <f>base!I7</f>
        <v>1E-07</v>
      </c>
    </row>
    <row r="18" spans="1:19" s="82" customFormat="1" ht="24" customHeight="1">
      <c r="A18" s="9" t="s">
        <v>49</v>
      </c>
      <c r="B18" s="16" t="str">
        <f>B12</f>
        <v>0.001W% S</v>
      </c>
      <c r="C18" s="56">
        <v>4.3</v>
      </c>
      <c r="D18" s="83" t="s">
        <v>50</v>
      </c>
      <c r="E18" s="55">
        <f>E12</f>
        <v>1449.090909090909</v>
      </c>
      <c r="F18" s="55">
        <f>INT(E18*C18)</f>
        <v>6231</v>
      </c>
      <c r="G18" s="55"/>
      <c r="H18" s="55"/>
      <c r="I18" s="55"/>
      <c r="J18" s="55"/>
      <c r="K18" s="8">
        <f t="shared" si="2"/>
        <v>1449.090909090909</v>
      </c>
      <c r="L18" s="55">
        <f t="shared" si="2"/>
        <v>6231</v>
      </c>
      <c r="M18" s="84" t="str">
        <f>M6</f>
        <v>2022.01 거래가격 P.1435</v>
      </c>
      <c r="O18" s="85"/>
      <c r="P18" s="85"/>
      <c r="Q18" s="85"/>
      <c r="R18" s="85"/>
      <c r="S18" s="85"/>
    </row>
    <row r="19" spans="1:13" s="87" customFormat="1" ht="24" customHeight="1">
      <c r="A19" s="62" t="s">
        <v>51</v>
      </c>
      <c r="B19" s="53" t="s">
        <v>55</v>
      </c>
      <c r="C19" s="52">
        <v>0.24</v>
      </c>
      <c r="D19" s="54" t="s">
        <v>39</v>
      </c>
      <c r="E19" s="55">
        <f>F18</f>
        <v>6231</v>
      </c>
      <c r="F19" s="55">
        <f>INT(E19*C19)</f>
        <v>1495</v>
      </c>
      <c r="G19" s="55"/>
      <c r="H19" s="55"/>
      <c r="I19" s="55"/>
      <c r="J19" s="55"/>
      <c r="K19" s="8">
        <f t="shared" si="2"/>
        <v>6231</v>
      </c>
      <c r="L19" s="55">
        <f t="shared" si="2"/>
        <v>1495</v>
      </c>
      <c r="M19" s="86"/>
    </row>
    <row r="20" spans="1:13" s="87" customFormat="1" ht="24" customHeight="1">
      <c r="A20" s="62" t="s">
        <v>89</v>
      </c>
      <c r="B20" s="53"/>
      <c r="C20" s="88">
        <f>((1/8)*(16/12)*(25/20))</f>
        <v>0.20833333333333331</v>
      </c>
      <c r="D20" s="54" t="s">
        <v>91</v>
      </c>
      <c r="E20" s="55"/>
      <c r="F20" s="55"/>
      <c r="G20" s="55">
        <f>G27</f>
        <v>140351</v>
      </c>
      <c r="H20" s="55">
        <f>C20*G20</f>
        <v>29239.791666666664</v>
      </c>
      <c r="I20" s="55"/>
      <c r="J20" s="55"/>
      <c r="K20" s="8">
        <f t="shared" si="2"/>
        <v>140351</v>
      </c>
      <c r="L20" s="55">
        <f t="shared" si="2"/>
        <v>29239.791666666664</v>
      </c>
      <c r="M20" s="89" t="s">
        <v>105</v>
      </c>
    </row>
    <row r="21" spans="1:13" ht="24" customHeight="1">
      <c r="A21" s="65" t="s">
        <v>83</v>
      </c>
      <c r="B21" s="66"/>
      <c r="C21" s="52"/>
      <c r="D21" s="54"/>
      <c r="E21" s="55"/>
      <c r="F21" s="67">
        <f>SUM(F17:F20)</f>
        <v>7726</v>
      </c>
      <c r="G21" s="55"/>
      <c r="H21" s="67">
        <f>SUM(H17:H20)</f>
        <v>29239.791666666664</v>
      </c>
      <c r="I21" s="55"/>
      <c r="J21" s="67">
        <f>SUM(J17:J20)</f>
        <v>3090</v>
      </c>
      <c r="K21" s="55"/>
      <c r="L21" s="67">
        <f>SUM(L17:L20)</f>
        <v>40055.791666666664</v>
      </c>
      <c r="M21" s="68"/>
    </row>
    <row r="22" spans="1:13" ht="24" customHeight="1">
      <c r="A22" s="204" t="s">
        <v>78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6"/>
    </row>
    <row r="23" spans="1:13" ht="24" customHeight="1">
      <c r="A23" s="92" t="s">
        <v>45</v>
      </c>
      <c r="B23" s="79" t="str">
        <f>base!B14</f>
        <v>2022.1.1기준</v>
      </c>
      <c r="C23" s="80">
        <v>1</v>
      </c>
      <c r="D23" s="81" t="s">
        <v>119</v>
      </c>
      <c r="E23" s="8"/>
      <c r="F23" s="8">
        <v>0</v>
      </c>
      <c r="G23" s="8">
        <f>base!E14</f>
        <v>187435</v>
      </c>
      <c r="H23" s="8">
        <f>C23*G23</f>
        <v>187435</v>
      </c>
      <c r="I23" s="8"/>
      <c r="J23" s="8"/>
      <c r="K23" s="8">
        <f>SUM(E23,G23,I23)</f>
        <v>187435</v>
      </c>
      <c r="L23" s="8">
        <f>F23+H23+J23</f>
        <v>187435</v>
      </c>
      <c r="M23" s="63"/>
    </row>
    <row r="24" spans="1:13" ht="24" customHeight="1">
      <c r="A24" s="92" t="s">
        <v>38</v>
      </c>
      <c r="B24" s="79" t="str">
        <f>B23</f>
        <v>2022.1.1기준</v>
      </c>
      <c r="C24" s="80">
        <v>1</v>
      </c>
      <c r="D24" s="81" t="s">
        <v>97</v>
      </c>
      <c r="E24" s="8"/>
      <c r="F24" s="8">
        <f>C24*E24</f>
        <v>0</v>
      </c>
      <c r="G24" s="8">
        <f>base!E15</f>
        <v>148510</v>
      </c>
      <c r="H24" s="8">
        <f>C24*G24</f>
        <v>148510</v>
      </c>
      <c r="I24" s="8"/>
      <c r="J24" s="8"/>
      <c r="K24" s="8">
        <f>SUM(E24,G24,I24)</f>
        <v>148510</v>
      </c>
      <c r="L24" s="8">
        <f>F24+H24+J24</f>
        <v>148510</v>
      </c>
      <c r="M24" s="64"/>
    </row>
    <row r="25" spans="1:13" ht="24" customHeight="1">
      <c r="A25" s="93" t="s">
        <v>98</v>
      </c>
      <c r="B25" s="79" t="str">
        <f>B24</f>
        <v>2022.1.1기준</v>
      </c>
      <c r="C25" s="80">
        <v>1</v>
      </c>
      <c r="D25" s="81" t="s">
        <v>99</v>
      </c>
      <c r="E25" s="8"/>
      <c r="F25" s="8">
        <f>C25*E25</f>
        <v>0</v>
      </c>
      <c r="G25" s="8">
        <f>base!E19</f>
        <v>229676</v>
      </c>
      <c r="H25" s="8">
        <f>C25*G25</f>
        <v>229676</v>
      </c>
      <c r="I25" s="8"/>
      <c r="J25" s="8"/>
      <c r="K25" s="8">
        <f>SUM(E25,G25,I25)</f>
        <v>229676</v>
      </c>
      <c r="L25" s="8">
        <f>F25+H25+J25</f>
        <v>229676</v>
      </c>
      <c r="M25" s="63"/>
    </row>
    <row r="26" spans="1:13" ht="24" customHeight="1">
      <c r="A26" s="92" t="s">
        <v>100</v>
      </c>
      <c r="B26" s="79" t="str">
        <f>B24</f>
        <v>2022.1.1기준</v>
      </c>
      <c r="C26" s="80">
        <v>1</v>
      </c>
      <c r="D26" s="81" t="s">
        <v>99</v>
      </c>
      <c r="E26" s="8"/>
      <c r="F26" s="8">
        <f>C26*E26</f>
        <v>0</v>
      </c>
      <c r="G26" s="8">
        <f>base!E18</f>
        <v>190297</v>
      </c>
      <c r="H26" s="8">
        <f>C26*G26</f>
        <v>190297</v>
      </c>
      <c r="I26" s="8"/>
      <c r="J26" s="8"/>
      <c r="K26" s="8">
        <f>SUM(E26,G26,I26)</f>
        <v>190297</v>
      </c>
      <c r="L26" s="8">
        <f>F26+H26+J26</f>
        <v>190297</v>
      </c>
      <c r="M26" s="63"/>
    </row>
    <row r="27" spans="1:13" ht="24" customHeight="1">
      <c r="A27" s="94" t="s">
        <v>101</v>
      </c>
      <c r="B27" s="95" t="str">
        <f>B25</f>
        <v>2022.1.1기준</v>
      </c>
      <c r="C27" s="96">
        <v>1</v>
      </c>
      <c r="D27" s="97" t="s">
        <v>99</v>
      </c>
      <c r="E27" s="98"/>
      <c r="F27" s="98">
        <f>C27*E27</f>
        <v>0</v>
      </c>
      <c r="G27" s="98">
        <f>base!E17</f>
        <v>140351</v>
      </c>
      <c r="H27" s="98">
        <f>C27*G27</f>
        <v>140351</v>
      </c>
      <c r="I27" s="98"/>
      <c r="J27" s="98"/>
      <c r="K27" s="98">
        <f>SUM(E27,G27,I27)</f>
        <v>140351</v>
      </c>
      <c r="L27" s="98">
        <f>F27+H27+J27</f>
        <v>140351</v>
      </c>
      <c r="M27" s="99"/>
    </row>
    <row r="28" ht="24.75" customHeight="1"/>
  </sheetData>
  <sheetProtection/>
  <mergeCells count="13">
    <mergeCell ref="B1:B2"/>
    <mergeCell ref="C1:C2"/>
    <mergeCell ref="M1:M2"/>
    <mergeCell ref="E1:F1"/>
    <mergeCell ref="G1:H1"/>
    <mergeCell ref="I1:J1"/>
    <mergeCell ref="A22:M22"/>
    <mergeCell ref="A10:M10"/>
    <mergeCell ref="D1:D2"/>
    <mergeCell ref="A3:M3"/>
    <mergeCell ref="K1:L1"/>
    <mergeCell ref="A16:M16"/>
    <mergeCell ref="A1:A2"/>
  </mergeCells>
  <printOptions/>
  <pageMargins left="0.4724409448818898" right="0.2362204724409449" top="0.8661417322834646" bottom="0.1968503937007874" header="0.4330708661417323" footer="0.15748031496062992"/>
  <pageSetup horizontalDpi="300" verticalDpi="300" orientation="landscape" paperSize="9" scale="78" r:id="rId1"/>
  <headerFooter alignWithMargins="0">
    <oddHeader>&amp;C&amp;"굴림체,굵게"&amp;16기    본    대    가    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M28"/>
    </sheetView>
  </sheetViews>
  <sheetFormatPr defaultColWidth="8.88671875" defaultRowHeight="13.5"/>
  <cols>
    <col min="1" max="1" width="11.6640625" style="121" bestFit="1" customWidth="1"/>
    <col min="2" max="2" width="9.88671875" style="121" bestFit="1" customWidth="1"/>
    <col min="3" max="3" width="10.10546875" style="121" bestFit="1" customWidth="1"/>
    <col min="4" max="4" width="8.88671875" style="121" customWidth="1"/>
    <col min="5" max="5" width="9.3359375" style="121" bestFit="1" customWidth="1"/>
    <col min="6" max="6" width="8.77734375" style="121" bestFit="1" customWidth="1"/>
    <col min="7" max="7" width="11.10546875" style="121" bestFit="1" customWidth="1"/>
    <col min="8" max="8" width="10.77734375" style="121" bestFit="1" customWidth="1"/>
    <col min="9" max="16384" width="8.88671875" style="121" customWidth="1"/>
  </cols>
  <sheetData>
    <row r="1" spans="1:5" ht="16.5">
      <c r="A1" s="215" t="s">
        <v>140</v>
      </c>
      <c r="B1" s="216"/>
      <c r="D1" s="215" t="s">
        <v>141</v>
      </c>
      <c r="E1" s="216"/>
    </row>
    <row r="2" spans="1:5" ht="16.5">
      <c r="A2" s="122" t="s">
        <v>121</v>
      </c>
      <c r="B2" s="162" t="s">
        <v>122</v>
      </c>
      <c r="D2" s="122" t="s">
        <v>121</v>
      </c>
      <c r="E2" s="162" t="s">
        <v>122</v>
      </c>
    </row>
    <row r="3" spans="1:5" ht="16.5">
      <c r="A3" s="123">
        <v>2022</v>
      </c>
      <c r="B3" s="124">
        <v>795</v>
      </c>
      <c r="D3" s="123">
        <v>2022</v>
      </c>
      <c r="E3" s="124">
        <v>266</v>
      </c>
    </row>
    <row r="5" spans="1:9" ht="16.5">
      <c r="A5" s="217" t="s">
        <v>145</v>
      </c>
      <c r="B5" s="218"/>
      <c r="C5" s="218"/>
      <c r="D5" s="218"/>
      <c r="E5" s="218"/>
      <c r="F5" s="218"/>
      <c r="G5" s="218"/>
      <c r="H5" s="218"/>
      <c r="I5" s="219"/>
    </row>
    <row r="6" spans="1:13" ht="16.5">
      <c r="A6" s="122" t="s">
        <v>152</v>
      </c>
      <c r="B6" s="161" t="s">
        <v>123</v>
      </c>
      <c r="C6" s="161" t="s">
        <v>146</v>
      </c>
      <c r="D6" s="161" t="s">
        <v>124</v>
      </c>
      <c r="E6" s="161" t="s">
        <v>147</v>
      </c>
      <c r="F6" s="161" t="s">
        <v>148</v>
      </c>
      <c r="G6" s="161" t="s">
        <v>149</v>
      </c>
      <c r="H6" s="220" t="s">
        <v>150</v>
      </c>
      <c r="I6" s="221"/>
      <c r="J6" s="125"/>
      <c r="K6" s="125"/>
      <c r="L6" s="125"/>
      <c r="M6" s="125"/>
    </row>
    <row r="7" spans="1:13" ht="16.5">
      <c r="A7" s="122">
        <v>2022</v>
      </c>
      <c r="B7" s="226" t="s">
        <v>167</v>
      </c>
      <c r="C7" s="161" t="s">
        <v>139</v>
      </c>
      <c r="D7" s="126">
        <v>25</v>
      </c>
      <c r="E7" s="161">
        <v>4.3</v>
      </c>
      <c r="F7" s="161">
        <v>24</v>
      </c>
      <c r="G7" s="127">
        <v>13085000</v>
      </c>
      <c r="H7" s="128">
        <v>2362</v>
      </c>
      <c r="I7" s="129">
        <v>1E-07</v>
      </c>
      <c r="J7" s="125"/>
      <c r="K7" s="125"/>
      <c r="L7" s="125"/>
      <c r="M7" s="125"/>
    </row>
    <row r="8" spans="1:13" ht="16.5">
      <c r="A8" s="122">
        <v>2022</v>
      </c>
      <c r="B8" s="226" t="s">
        <v>168</v>
      </c>
      <c r="C8" s="161" t="s">
        <v>142</v>
      </c>
      <c r="D8" s="130">
        <f>15.24/2.54</f>
        <v>6</v>
      </c>
      <c r="E8" s="161"/>
      <c r="F8" s="161"/>
      <c r="G8" s="127">
        <v>786000</v>
      </c>
      <c r="H8" s="128">
        <v>5268</v>
      </c>
      <c r="I8" s="129">
        <v>1E-07</v>
      </c>
      <c r="J8" s="125"/>
      <c r="K8" s="125"/>
      <c r="L8" s="125"/>
      <c r="M8" s="125"/>
    </row>
    <row r="9" spans="1:13" ht="16.5">
      <c r="A9" s="122">
        <v>2022</v>
      </c>
      <c r="B9" s="226" t="s">
        <v>169</v>
      </c>
      <c r="C9" s="161" t="s">
        <v>143</v>
      </c>
      <c r="D9" s="131">
        <v>0.6</v>
      </c>
      <c r="E9" s="161">
        <v>11.6</v>
      </c>
      <c r="F9" s="161">
        <v>24</v>
      </c>
      <c r="G9" s="127">
        <v>109114000</v>
      </c>
      <c r="H9" s="128">
        <v>2279</v>
      </c>
      <c r="I9" s="129">
        <v>1E-07</v>
      </c>
      <c r="J9" s="163"/>
      <c r="K9" s="125"/>
      <c r="L9" s="125"/>
      <c r="M9" s="125"/>
    </row>
    <row r="10" spans="1:13" ht="16.5">
      <c r="A10" s="122">
        <v>2022</v>
      </c>
      <c r="B10" s="226" t="s">
        <v>170</v>
      </c>
      <c r="C10" s="161" t="s">
        <v>151</v>
      </c>
      <c r="D10" s="131">
        <v>0.6</v>
      </c>
      <c r="E10" s="161"/>
      <c r="F10" s="161"/>
      <c r="G10" s="127">
        <v>12812000</v>
      </c>
      <c r="H10" s="128">
        <v>6601</v>
      </c>
      <c r="I10" s="129">
        <v>1E-07</v>
      </c>
      <c r="J10" s="163"/>
      <c r="K10" s="125"/>
      <c r="L10" s="125"/>
      <c r="M10" s="125"/>
    </row>
    <row r="11" spans="1:13" ht="16.5">
      <c r="A11" s="123">
        <v>2022</v>
      </c>
      <c r="B11" s="227" t="s">
        <v>171</v>
      </c>
      <c r="C11" s="132" t="s">
        <v>131</v>
      </c>
      <c r="D11" s="133">
        <v>2.5</v>
      </c>
      <c r="E11" s="132">
        <v>2.9</v>
      </c>
      <c r="F11" s="132">
        <v>38</v>
      </c>
      <c r="G11" s="134">
        <v>20105000</v>
      </c>
      <c r="H11" s="135">
        <v>2967</v>
      </c>
      <c r="I11" s="136">
        <v>1E-07</v>
      </c>
      <c r="J11" s="125"/>
      <c r="K11" s="125"/>
      <c r="L11" s="125"/>
      <c r="M11" s="125"/>
    </row>
    <row r="12" spans="1:13" ht="16.5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 ht="16.5">
      <c r="A13" s="222" t="s">
        <v>144</v>
      </c>
      <c r="B13" s="223"/>
      <c r="C13" s="223"/>
      <c r="D13" s="223"/>
      <c r="E13" s="224"/>
      <c r="F13" s="125"/>
      <c r="G13" s="125"/>
      <c r="H13" s="125"/>
      <c r="I13" s="125"/>
      <c r="J13" s="125"/>
      <c r="K13" s="125"/>
      <c r="L13" s="125"/>
      <c r="M13" s="125"/>
    </row>
    <row r="14" spans="1:13" ht="16.5">
      <c r="A14" s="137" t="s">
        <v>125</v>
      </c>
      <c r="B14" s="138" t="s">
        <v>172</v>
      </c>
      <c r="C14" s="139">
        <v>1</v>
      </c>
      <c r="D14" s="140" t="s">
        <v>119</v>
      </c>
      <c r="E14" s="141">
        <v>187435</v>
      </c>
      <c r="F14" s="125"/>
      <c r="G14" s="228"/>
      <c r="H14" s="125"/>
      <c r="I14" s="125"/>
      <c r="J14" s="125"/>
      <c r="K14" s="125"/>
      <c r="L14" s="125"/>
      <c r="M14" s="125"/>
    </row>
    <row r="15" spans="1:13" ht="16.5">
      <c r="A15" s="137" t="s">
        <v>126</v>
      </c>
      <c r="B15" s="138" t="s">
        <v>173</v>
      </c>
      <c r="C15" s="139">
        <v>1</v>
      </c>
      <c r="D15" s="140" t="s">
        <v>119</v>
      </c>
      <c r="E15" s="141">
        <v>148510</v>
      </c>
      <c r="F15" s="125"/>
      <c r="G15" s="228"/>
      <c r="H15" s="125"/>
      <c r="I15" s="125"/>
      <c r="J15" s="125"/>
      <c r="K15" s="125"/>
      <c r="L15" s="125"/>
      <c r="M15" s="125"/>
    </row>
    <row r="16" spans="1:13" ht="16.5">
      <c r="A16" s="137" t="s">
        <v>127</v>
      </c>
      <c r="B16" s="138" t="s">
        <v>173</v>
      </c>
      <c r="C16" s="139">
        <v>1</v>
      </c>
      <c r="D16" s="140" t="s">
        <v>119</v>
      </c>
      <c r="E16" s="141">
        <v>214374</v>
      </c>
      <c r="F16" s="125"/>
      <c r="G16" s="228"/>
      <c r="H16" s="125"/>
      <c r="I16" s="125"/>
      <c r="J16" s="125"/>
      <c r="K16" s="125"/>
      <c r="L16" s="125"/>
      <c r="M16" s="125"/>
    </row>
    <row r="17" spans="1:11" ht="16.5">
      <c r="A17" s="137" t="s">
        <v>128</v>
      </c>
      <c r="B17" s="138" t="s">
        <v>173</v>
      </c>
      <c r="C17" s="139">
        <v>1</v>
      </c>
      <c r="D17" s="140" t="s">
        <v>119</v>
      </c>
      <c r="E17" s="141">
        <v>140351</v>
      </c>
      <c r="F17" s="142"/>
      <c r="G17" s="229"/>
      <c r="H17" s="142"/>
      <c r="I17" s="142"/>
      <c r="J17" s="142"/>
      <c r="K17" s="142"/>
    </row>
    <row r="18" spans="1:11" ht="16.5">
      <c r="A18" s="137" t="s">
        <v>81</v>
      </c>
      <c r="B18" s="138" t="s">
        <v>173</v>
      </c>
      <c r="C18" s="139">
        <v>1</v>
      </c>
      <c r="D18" s="140" t="s">
        <v>119</v>
      </c>
      <c r="E18" s="141">
        <v>190297</v>
      </c>
      <c r="F18" s="142"/>
      <c r="G18" s="229"/>
      <c r="H18" s="142"/>
      <c r="I18" s="142"/>
      <c r="J18" s="142"/>
      <c r="K18" s="142"/>
    </row>
    <row r="19" spans="1:7" ht="16.5">
      <c r="A19" s="143" t="s">
        <v>153</v>
      </c>
      <c r="B19" s="144" t="s">
        <v>173</v>
      </c>
      <c r="C19" s="145">
        <v>1</v>
      </c>
      <c r="D19" s="146" t="s">
        <v>119</v>
      </c>
      <c r="E19" s="147">
        <v>229676</v>
      </c>
      <c r="G19" s="229"/>
    </row>
    <row r="21" spans="1:7" ht="16.5">
      <c r="A21" s="148" t="s">
        <v>154</v>
      </c>
      <c r="B21" s="149"/>
      <c r="C21" s="149"/>
      <c r="D21" s="149"/>
      <c r="E21" s="149"/>
      <c r="F21" s="149"/>
      <c r="G21" s="150"/>
    </row>
    <row r="22" spans="1:7" ht="16.5">
      <c r="A22" s="122" t="s">
        <v>152</v>
      </c>
      <c r="B22" s="161" t="s">
        <v>155</v>
      </c>
      <c r="C22" s="161" t="s">
        <v>156</v>
      </c>
      <c r="D22" s="151" t="s">
        <v>123</v>
      </c>
      <c r="E22" s="161" t="s">
        <v>157</v>
      </c>
      <c r="F22" s="161" t="s">
        <v>124</v>
      </c>
      <c r="G22" s="162" t="s">
        <v>158</v>
      </c>
    </row>
    <row r="23" spans="1:10" ht="16.5" customHeight="1">
      <c r="A23" s="122">
        <v>2022</v>
      </c>
      <c r="B23" s="161">
        <v>1</v>
      </c>
      <c r="C23" s="161" t="s">
        <v>159</v>
      </c>
      <c r="D23" s="152">
        <v>1322</v>
      </c>
      <c r="E23" s="161" t="s">
        <v>160</v>
      </c>
      <c r="F23" s="130">
        <f>17.78/2.54</f>
        <v>7</v>
      </c>
      <c r="G23" s="141">
        <f>147000+60000+60000</f>
        <v>267000</v>
      </c>
      <c r="H23" s="214" t="s">
        <v>161</v>
      </c>
      <c r="I23" s="225" t="s">
        <v>162</v>
      </c>
      <c r="J23" s="153"/>
    </row>
    <row r="24" spans="1:9" ht="16.5">
      <c r="A24" s="122">
        <v>2022</v>
      </c>
      <c r="B24" s="152">
        <f>B23</f>
        <v>1</v>
      </c>
      <c r="C24" s="161" t="s">
        <v>159</v>
      </c>
      <c r="D24" s="152">
        <f>D23</f>
        <v>1322</v>
      </c>
      <c r="E24" s="161" t="s">
        <v>160</v>
      </c>
      <c r="F24" s="130">
        <f>15.24/2.54</f>
        <v>6</v>
      </c>
      <c r="G24" s="141">
        <f>118000+38000+24000</f>
        <v>180000</v>
      </c>
      <c r="H24" s="214"/>
      <c r="I24" s="225"/>
    </row>
    <row r="25" spans="1:9" ht="16.5">
      <c r="A25" s="122">
        <v>2022</v>
      </c>
      <c r="B25" s="152">
        <f>B24</f>
        <v>1</v>
      </c>
      <c r="C25" s="161" t="s">
        <v>159</v>
      </c>
      <c r="D25" s="152">
        <f>D24</f>
        <v>1322</v>
      </c>
      <c r="E25" s="161" t="s">
        <v>160</v>
      </c>
      <c r="F25" s="130">
        <f>2.54/2.54</f>
        <v>1</v>
      </c>
      <c r="G25" s="141">
        <f>26000+6500+9100</f>
        <v>41600</v>
      </c>
      <c r="H25" s="153" t="s">
        <v>163</v>
      </c>
      <c r="I25" s="225"/>
    </row>
    <row r="26" spans="1:7" ht="16.5">
      <c r="A26" s="123">
        <v>2022</v>
      </c>
      <c r="B26" s="132">
        <f>B25</f>
        <v>1</v>
      </c>
      <c r="C26" s="132" t="s">
        <v>164</v>
      </c>
      <c r="D26" s="154">
        <v>1435</v>
      </c>
      <c r="E26" s="132" t="s">
        <v>165</v>
      </c>
      <c r="F26" s="155" t="s">
        <v>166</v>
      </c>
      <c r="G26" s="147">
        <f>1594/1.1</f>
        <v>1449.090909090909</v>
      </c>
    </row>
  </sheetData>
  <sheetProtection/>
  <mergeCells count="7">
    <mergeCell ref="H23:H24"/>
    <mergeCell ref="A1:B1"/>
    <mergeCell ref="A5:I5"/>
    <mergeCell ref="H6:I6"/>
    <mergeCell ref="A13:E13"/>
    <mergeCell ref="D1:E1"/>
    <mergeCell ref="I23:I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SHY</cp:lastModifiedBy>
  <cp:lastPrinted>2015-02-09T06:09:26Z</cp:lastPrinted>
  <dcterms:created xsi:type="dcterms:W3CDTF">2001-04-21T04:10:40Z</dcterms:created>
  <dcterms:modified xsi:type="dcterms:W3CDTF">2022-02-15T05:42:44Z</dcterms:modified>
  <cp:category/>
  <cp:version/>
  <cp:contentType/>
  <cp:contentStatus/>
</cp:coreProperties>
</file>