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tabRatio="619" activeTab="0"/>
  </bookViews>
  <sheets>
    <sheet name="표지" sheetId="1" r:id="rId1"/>
    <sheet name="일위대가" sheetId="2" r:id="rId2"/>
    <sheet name="기본대가" sheetId="3" r:id="rId3"/>
    <sheet name="base" sheetId="4" state="hidden" r:id="rId4"/>
  </sheets>
  <definedNames>
    <definedName name="_xlnm.Print_Area" localSheetId="2">'기본대가'!$A$1:$M$37</definedName>
    <definedName name="_xlnm.Print_Area" localSheetId="1">'일위대가'!$A$1:$M$30</definedName>
    <definedName name="_xlnm.Print_Area" localSheetId="0">'표지'!#REF!</definedName>
    <definedName name="_xlnm.Print_Titles" localSheetId="2">'기본대가'!$1:$2</definedName>
    <definedName name="_xlnm.Print_Titles" localSheetId="1">'일위대가'!$2:$3</definedName>
  </definedNames>
  <calcPr fullCalcOnLoad="1"/>
</workbook>
</file>

<file path=xl/sharedStrings.xml><?xml version="1.0" encoding="utf-8"?>
<sst xmlns="http://schemas.openxmlformats.org/spreadsheetml/2006/main" count="266" uniqueCount="191">
  <si>
    <t>과  장</t>
  </si>
  <si>
    <t>심 사 자</t>
  </si>
  <si>
    <t>설 계 자</t>
  </si>
  <si>
    <t>설 계</t>
  </si>
  <si>
    <t xml:space="preserve">  년    월   일</t>
  </si>
  <si>
    <t>심 사</t>
  </si>
  <si>
    <t>업체명:</t>
  </si>
  <si>
    <t>T E L :</t>
  </si>
  <si>
    <t>일  자:</t>
  </si>
  <si>
    <t>F A X :</t>
  </si>
  <si>
    <t>담   당</t>
  </si>
  <si>
    <t>결  재</t>
  </si>
  <si>
    <t xml:space="preserve">       년   월   일</t>
  </si>
  <si>
    <t xml:space="preserve">                    설      계      서</t>
  </si>
  <si>
    <t>공 종</t>
  </si>
  <si>
    <t>규격</t>
  </si>
  <si>
    <t>수량</t>
  </si>
  <si>
    <t>단위</t>
  </si>
  <si>
    <t>재 료 비</t>
  </si>
  <si>
    <t>노 무 비</t>
  </si>
  <si>
    <t>경    비</t>
  </si>
  <si>
    <t>합   계</t>
  </si>
  <si>
    <t>비  고</t>
  </si>
  <si>
    <t>단  가</t>
  </si>
  <si>
    <t>금  액</t>
  </si>
  <si>
    <t>* "m"당 단가 :</t>
  </si>
  <si>
    <t>코어드릴</t>
  </si>
  <si>
    <t>hr</t>
  </si>
  <si>
    <t>Φ6 inch</t>
  </si>
  <si>
    <t>3단코어비트</t>
  </si>
  <si>
    <t>개</t>
  </si>
  <si>
    <t>발전기</t>
  </si>
  <si>
    <t>hr</t>
  </si>
  <si>
    <t>백호(브레이커 포함)</t>
  </si>
  <si>
    <t>설치비</t>
  </si>
  <si>
    <t>특별인부</t>
  </si>
  <si>
    <t>인</t>
  </si>
  <si>
    <t xml:space="preserve">     "</t>
  </si>
  <si>
    <t>보통인부</t>
  </si>
  <si>
    <t>잡재료비</t>
  </si>
  <si>
    <t>식</t>
  </si>
  <si>
    <t>계</t>
  </si>
  <si>
    <t>본</t>
  </si>
  <si>
    <t>개</t>
  </si>
  <si>
    <t>인력품의 3%</t>
  </si>
  <si>
    <t>소계(제품비)</t>
  </si>
  <si>
    <t>소계(설치비)</t>
  </si>
  <si>
    <t>25kw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</si>
  <si>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</si>
  <si>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</si>
  <si>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</si>
  <si>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</si>
  <si>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</si>
  <si>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</si>
  <si>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</si>
  <si>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</si>
  <si>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</si>
  <si>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</si>
  <si>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</si>
  <si>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코어드릴-'시간'당</t>
  </si>
  <si>
    <t>6"</t>
  </si>
  <si>
    <t>계</t>
  </si>
  <si>
    <t xml:space="preserve"> * 제2호표 : 발전기(25kw)-'시간'당</t>
  </si>
  <si>
    <t>25kw</t>
  </si>
  <si>
    <t>경유</t>
  </si>
  <si>
    <t>l</t>
  </si>
  <si>
    <t>잡재료</t>
  </si>
  <si>
    <t>주연료의 24%</t>
  </si>
  <si>
    <t>인</t>
  </si>
  <si>
    <t>제5호표</t>
  </si>
  <si>
    <t xml:space="preserve"> * 제3호표 : 덤프트럭(2.5ton)-'시간'당</t>
  </si>
  <si>
    <t>덤프트럭</t>
  </si>
  <si>
    <t>2.5ton</t>
  </si>
  <si>
    <t>주연료의 38%</t>
  </si>
  <si>
    <t>유압식백호</t>
  </si>
  <si>
    <t>대형브레이커</t>
  </si>
  <si>
    <t>인</t>
  </si>
  <si>
    <t>1일기준시간x상여계수x휴지계수=(1/8)x(16/12)x(25/20)</t>
  </si>
  <si>
    <t xml:space="preserve"> * 노임단가</t>
  </si>
  <si>
    <t>건설기계운전사</t>
  </si>
  <si>
    <t>덤프트럭</t>
  </si>
  <si>
    <t>2.5ton</t>
  </si>
  <si>
    <t>일반기계운전사</t>
  </si>
  <si>
    <t>화물차운전사</t>
  </si>
  <si>
    <t xml:space="preserve"> * 제5호표 : 일반기계운전사-'시간'당</t>
  </si>
  <si>
    <t xml:space="preserve"> * 제6호표 : 화물차운전사-'시간'당</t>
  </si>
  <si>
    <t xml:space="preserve"> * 제7호표 : 건설기계운전사-'시간'당</t>
  </si>
  <si>
    <t>제6호표</t>
  </si>
  <si>
    <t>일</t>
  </si>
  <si>
    <t>철골공</t>
  </si>
  <si>
    <t>(02)3436-6450</t>
  </si>
  <si>
    <t>특별인부</t>
  </si>
  <si>
    <t>보통인부</t>
  </si>
  <si>
    <t>건설기계운전사</t>
  </si>
  <si>
    <t>건설기계운전사</t>
  </si>
  <si>
    <t>인</t>
  </si>
  <si>
    <t>제7호표</t>
  </si>
  <si>
    <t>계</t>
  </si>
  <si>
    <t xml:space="preserve"> 정도산업㈜ </t>
  </si>
  <si>
    <t>일</t>
  </si>
  <si>
    <t>0.001W% S</t>
  </si>
  <si>
    <t>연도</t>
  </si>
  <si>
    <t>페이지</t>
  </si>
  <si>
    <t>특별인부</t>
  </si>
  <si>
    <t>일</t>
  </si>
  <si>
    <t>보통인부</t>
  </si>
  <si>
    <t>철골공</t>
  </si>
  <si>
    <t>일반기계운전사</t>
  </si>
  <si>
    <t>화물차운전사</t>
  </si>
  <si>
    <t>1577-8549</t>
  </si>
  <si>
    <r>
      <t xml:space="preserve"> * 제4호표 : 백호(0.6m</t>
    </r>
    <r>
      <rPr>
        <b/>
        <vertAlign val="superscript"/>
        <sz val="10"/>
        <rFont val="굴림"/>
        <family val="3"/>
      </rPr>
      <t>3</t>
    </r>
    <r>
      <rPr>
        <b/>
        <sz val="10"/>
        <rFont val="굴림"/>
        <family val="3"/>
      </rPr>
      <t>,대형브레이커 포함)-'시간'당</t>
    </r>
  </si>
  <si>
    <r>
      <t>0.6m</t>
    </r>
    <r>
      <rPr>
        <vertAlign val="superscript"/>
        <sz val="10"/>
        <rFont val="굴림"/>
        <family val="3"/>
      </rPr>
      <t>3</t>
    </r>
  </si>
  <si>
    <t>상부원형지주</t>
  </si>
  <si>
    <t>Ø139.8*1645*4.5T</t>
  </si>
  <si>
    <t>하부원형지주</t>
  </si>
  <si>
    <t>Ø165.2*450*4.5T</t>
  </si>
  <si>
    <t>W형 가드레일</t>
  </si>
  <si>
    <t>350*4330*4T</t>
  </si>
  <si>
    <t>W형 단부레일</t>
  </si>
  <si>
    <t>350*1165*4T</t>
  </si>
  <si>
    <t>하단 가드레일</t>
  </si>
  <si>
    <t>175*4330*3.2T</t>
  </si>
  <si>
    <t>하단 단부레일</t>
  </si>
  <si>
    <t>175*500*3.2T</t>
  </si>
  <si>
    <t>연결대</t>
  </si>
  <si>
    <t>260*80*4T</t>
  </si>
  <si>
    <t>지주캡</t>
  </si>
  <si>
    <t>Ø139.8용</t>
  </si>
  <si>
    <t>고정캡</t>
  </si>
  <si>
    <t>취부볼트</t>
  </si>
  <si>
    <t>Ø20*190</t>
  </si>
  <si>
    <t>연결볼트</t>
  </si>
  <si>
    <t>Ø16*38</t>
  </si>
  <si>
    <t>고정볼트</t>
  </si>
  <si>
    <t>Ø16*85</t>
  </si>
  <si>
    <t>셋트앙카</t>
  </si>
  <si>
    <t>Ø19*150</t>
  </si>
  <si>
    <t>장</t>
  </si>
  <si>
    <t>장</t>
  </si>
  <si>
    <t>장</t>
  </si>
  <si>
    <t>장</t>
  </si>
  <si>
    <t>개</t>
  </si>
  <si>
    <t>개</t>
  </si>
  <si>
    <t>중 앙 분 리 대 용 긴 급 개 구 부</t>
  </si>
  <si>
    <t>1. 중앙분리대용 긴급개구부 (H1270xL17000-SB5등급)설치공사 "개소"당</t>
  </si>
  <si>
    <t>/  17m  =</t>
  </si>
  <si>
    <t>아연도금</t>
  </si>
  <si>
    <r>
      <t>0.6m</t>
    </r>
    <r>
      <rPr>
        <vertAlign val="superscript"/>
        <sz val="10"/>
        <rFont val="굴림"/>
        <family val="3"/>
      </rPr>
      <t>3</t>
    </r>
  </si>
  <si>
    <t>규격</t>
  </si>
  <si>
    <t>덤프트럭</t>
  </si>
  <si>
    <t>건설기계운전사</t>
  </si>
  <si>
    <t>3단코어비트</t>
  </si>
  <si>
    <t>중분대 항타용</t>
  </si>
  <si>
    <t>철골공</t>
  </si>
  <si>
    <t>Φ7 inch</t>
  </si>
  <si>
    <t>인</t>
  </si>
  <si>
    <t>연도</t>
  </si>
  <si>
    <t>장비가격(천원)</t>
  </si>
  <si>
    <t>착암공</t>
  </si>
  <si>
    <t>거래가격</t>
  </si>
  <si>
    <t xml:space="preserve"> * 건설표준품셈</t>
  </si>
  <si>
    <t xml:space="preserve"> * 거래가격</t>
  </si>
  <si>
    <t xml:space="preserve"> * 장비단가</t>
  </si>
  <si>
    <t>페이지</t>
  </si>
  <si>
    <t>공종</t>
  </si>
  <si>
    <t>주연료(l/hr)</t>
  </si>
  <si>
    <t>잡재료(%)</t>
  </si>
  <si>
    <t>손료</t>
  </si>
  <si>
    <t>발전기</t>
  </si>
  <si>
    <t>코어드릴</t>
  </si>
  <si>
    <t>굴삭기</t>
  </si>
  <si>
    <t>대형브레이커</t>
  </si>
  <si>
    <t xml:space="preserve"> * 노임단가</t>
  </si>
  <si>
    <t xml:space="preserve"> * 재료단가</t>
  </si>
  <si>
    <t>월</t>
  </si>
  <si>
    <t>물가지</t>
  </si>
  <si>
    <t>재료명</t>
  </si>
  <si>
    <t>금액</t>
  </si>
  <si>
    <t>비트+튜브+커플링</t>
  </si>
  <si>
    <t>옹벽용</t>
  </si>
  <si>
    <t>거래가격</t>
  </si>
  <si>
    <t>경유</t>
  </si>
  <si>
    <t>거래가격</t>
  </si>
  <si>
    <t>691,712,730</t>
  </si>
  <si>
    <t>681,727</t>
  </si>
  <si>
    <t>651,702,718</t>
  </si>
  <si>
    <t>652,718</t>
  </si>
  <si>
    <t>655,703,719</t>
  </si>
  <si>
    <t>2022.1.1기준</t>
  </si>
  <si>
    <t>2022.1.1기준</t>
  </si>
  <si>
    <t>2022년  월  일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</si>
</sst>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_ * #,##0_ ;_ * \-#,##0_ ;_ * &quot;-&quot;_ ;_ @_ "/>
    <numFmt numFmtId="180" formatCode="_ * #,##0.00_ ;_ * \-#,##0.00_ ;_ * &quot;-&quot;??_ ;_ @_ "/>
    <numFmt numFmtId="181" formatCode="_-* #,##0_-;\-* #,##0_-;_-* &quot;-&quot;??_-;_-@_-"/>
    <numFmt numFmtId="182" formatCode="#,##0.00##;[Red]&quot;△&quot;#,##0.00##"/>
    <numFmt numFmtId="183" formatCode="#,##0.####;[Red]&quot;△&quot;#,##0.####"/>
    <numFmt numFmtId="184" formatCode="#,##0&quot; &quot;;[Red]&quot;△&quot;#,##0&quot; &quot;"/>
    <numFmt numFmtId="185" formatCode="* #,##0&quot; &quot;;[Red]* &quot;△&quot;#,##0&quot; &quot;;* @"/>
    <numFmt numFmtId="186" formatCode="_-* #,##0.0_-;\-* #,##0.0_-;_-* &quot;-&quot;?_-;_-@_-"/>
    <numFmt numFmtId="187" formatCode="_-* #,##0.000_-;\-* #,##0.000_-;_-* &quot;-&quot;???_-;_-@_-"/>
    <numFmt numFmtId="188" formatCode="#,##0_ "/>
    <numFmt numFmtId="189" formatCode="0,000\ "/>
    <numFmt numFmtId="190" formatCode="000\-000"/>
    <numFmt numFmtId="191" formatCode="0.000_);[Red]\(0.000\)"/>
    <numFmt numFmtId="192" formatCode="0.000_ "/>
    <numFmt numFmtId="193" formatCode="#,##0.00_ "/>
    <numFmt numFmtId="194" formatCode="#,##0;[Red]#,##0"/>
    <numFmt numFmtId="195" formatCode="#,##0_);\(#,##0\)"/>
    <numFmt numFmtId="196" formatCode="mm&quot;월&quot;\ dd&quot;일&quot;"/>
    <numFmt numFmtId="197" formatCode="#,##0.000_ "/>
    <numFmt numFmtId="198" formatCode="#,##0.000_);[Red]\(#,##0.000\)"/>
    <numFmt numFmtId="199" formatCode="#,##0_);[Red]\(#,##0\)"/>
    <numFmt numFmtId="200" formatCode="_-* #,##0.000000_-;\-* #,##0.000000_-;_-* &quot;-&quot;??????_-;_-@_-"/>
    <numFmt numFmtId="201" formatCode="_-* #,##0.0000_-;\-* #,##0.0000_-;_-* &quot;-&quot;????_-;_-@_-"/>
    <numFmt numFmtId="202" formatCode="_-* #,##0.00000000_-;\-* #,##0.00000000_-;_-* &quot;-&quot;????????_-;_-@_-"/>
    <numFmt numFmtId="203" formatCode="0.00_ "/>
    <numFmt numFmtId="204" formatCode="0.0_);[Red]\(0.0\)"/>
    <numFmt numFmtId="205" formatCode="0.0"/>
    <numFmt numFmtId="206" formatCode="0.000"/>
    <numFmt numFmtId="207" formatCode="0.0%"/>
    <numFmt numFmtId="208" formatCode="0.0_ "/>
    <numFmt numFmtId="209" formatCode="0.0;[Red]0.0"/>
    <numFmt numFmtId="210" formatCode="0.0000_ "/>
    <numFmt numFmtId="211" formatCode="0&quot; kw&quot;"/>
    <numFmt numFmtId="212" formatCode="#,###,"/>
    <numFmt numFmtId="213" formatCode="0&quot; inch&quot;"/>
    <numFmt numFmtId="214" formatCode="0.0\ &quot;㎥&quot;"/>
    <numFmt numFmtId="215" formatCode="0.0\ &quot;ton&quot;"/>
    <numFmt numFmtId="216" formatCode="0.0000"/>
    <numFmt numFmtId="217" formatCode="_-* #,##0.0_-;\-* #,##0.0_-;_-* &quot;-&quot;??_-;_-@_-"/>
    <numFmt numFmtId="218" formatCode="0.00000E+00"/>
    <numFmt numFmtId="219" formatCode="0.0000E+00"/>
    <numFmt numFmtId="220" formatCode="0.000E+00"/>
    <numFmt numFmtId="221" formatCode="0.0E+00"/>
    <numFmt numFmtId="222" formatCode="0E+00"/>
    <numFmt numFmtId="223" formatCode="[$-412]yyyy&quot;년&quot;\ m&quot;월&quot;\ d&quot;일&quot;\ dddd"/>
    <numFmt numFmtId="224" formatCode="[$-412]AM/PM\ h:mm:ss"/>
    <numFmt numFmtId="225" formatCode="_-* #,##0.0_-;\-* #,##0.0_-;_-* &quot;-&quot;_-;_-@_-"/>
    <numFmt numFmtId="226" formatCode="_-* #,##0.00_-;\-* #,##0.00_-;_-* &quot;-&quot;_-;_-@_-"/>
    <numFmt numFmtId="227" formatCode="_-* #,##0.000_-;\-* #,##0.000_-;_-* &quot;-&quot;_-;_-@_-"/>
    <numFmt numFmtId="228" formatCode="_-* #,##0.0000_-;\-* #,##0.0000_-;_-* &quot;-&quot;_-;_-@_-"/>
    <numFmt numFmtId="229" formatCode="_-* #,##0.00000_-;\-* #,##0.00000_-;_-* &quot;-&quot;_-;_-@_-"/>
    <numFmt numFmtId="230" formatCode="_-* #,##0.000000_-;\-* #,##0.000000_-;_-* &quot;-&quot;_-;_-@_-"/>
    <numFmt numFmtId="231" formatCode="_-* #,##0.0000000_-;\-* #,##0.0000000_-;_-* &quot;-&quot;_-;_-@_-"/>
    <numFmt numFmtId="232" formatCode="_-* #,##0.00000000_-;\-* #,##0.00000000_-;_-* &quot;-&quot;_-;_-@_-"/>
    <numFmt numFmtId="233" formatCode="_-* #,##0.000000000_-;\-* #,##0.000000000_-;_-* &quot;-&quot;_-;_-@_-"/>
    <numFmt numFmtId="234" formatCode="_-* #,##0.0000000000_-;\-* #,##0.0000000000_-;_-* &quot;-&quot;_-;_-@_-"/>
    <numFmt numFmtId="235" formatCode="_-* #,##0.00000000000_-;\-* #,##0.00000000000_-;_-* &quot;-&quot;_-;_-@_-"/>
    <numFmt numFmtId="236" formatCode="_-* #,##0.000000000000_-;\-* #,##0.000000000000_-;_-* &quot;-&quot;_-;_-@_-"/>
    <numFmt numFmtId="237" formatCode="_-* #,##0.0000000000000_-;\-* #,##0.0000000000000_-;_-* &quot;-&quot;_-;_-@_-"/>
    <numFmt numFmtId="238" formatCode="_-* #,##0.0000000000000_-;\-* #,##0.0000000000000_-;_-* &quot;-&quot;?????????????_-;_-@_-"/>
  </numFmts>
  <fonts count="70">
    <font>
      <sz val="11"/>
      <name val="돋움"/>
      <family val="3"/>
    </font>
    <font>
      <b/>
      <sz val="11"/>
      <name val="굴림"/>
      <family val="3"/>
    </font>
    <font>
      <sz val="8"/>
      <name val="돋움"/>
      <family val="3"/>
    </font>
    <font>
      <sz val="11"/>
      <name val="µ¸¿ò"/>
      <family val="3"/>
    </font>
    <font>
      <b/>
      <sz val="10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0"/>
      <name val="돋움"/>
      <family val="3"/>
    </font>
    <font>
      <u val="single"/>
      <sz val="10"/>
      <color indexed="36"/>
      <name val="굴림"/>
      <family val="3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2"/>
      <name val="굴림"/>
      <family val="3"/>
    </font>
    <font>
      <b/>
      <sz val="12"/>
      <name val="Arial"/>
      <family val="2"/>
    </font>
    <font>
      <sz val="10"/>
      <name val="CommercialScript BT"/>
      <family val="4"/>
    </font>
    <font>
      <sz val="10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b/>
      <sz val="10"/>
      <name val="굴림체"/>
      <family val="3"/>
    </font>
    <font>
      <b/>
      <sz val="11"/>
      <color indexed="48"/>
      <name val="굴림"/>
      <family val="3"/>
    </font>
    <font>
      <b/>
      <sz val="12"/>
      <color indexed="48"/>
      <name val="굴림체"/>
      <family val="3"/>
    </font>
    <font>
      <vertAlign val="superscript"/>
      <sz val="10"/>
      <name val="굴림"/>
      <family val="3"/>
    </font>
    <font>
      <b/>
      <vertAlign val="superscript"/>
      <sz val="10"/>
      <name val="굴림"/>
      <family val="3"/>
    </font>
    <font>
      <sz val="6"/>
      <name val="굴림"/>
      <family val="3"/>
    </font>
    <font>
      <sz val="8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sz val="8"/>
      <name val="맑은 고딕"/>
      <family val="3"/>
    </font>
    <font>
      <b/>
      <sz val="10"/>
      <name val="함초롬돋움"/>
      <family val="3"/>
    </font>
    <font>
      <sz val="10"/>
      <name val="함초롬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함초롬돋움"/>
      <family val="3"/>
    </font>
    <font>
      <b/>
      <sz val="10"/>
      <color indexed="8"/>
      <name val="함초롬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함초롬돋움"/>
      <family val="3"/>
    </font>
    <font>
      <b/>
      <sz val="10"/>
      <color theme="1"/>
      <name val="함초롬돋움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/>
      <right style="thin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11" applyNumberFormat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41" fontId="6" fillId="0" borderId="0" xfId="51" applyFont="1" applyBorder="1" applyAlignment="1">
      <alignment vertical="center"/>
    </xf>
    <xf numFmtId="0" fontId="4" fillId="0" borderId="0" xfId="78" applyNumberFormat="1" applyFont="1" applyBorder="1" applyAlignment="1">
      <alignment horizontal="left" vertical="center"/>
      <protection/>
    </xf>
    <xf numFmtId="0" fontId="6" fillId="0" borderId="0" xfId="78" applyFont="1" applyBorder="1" applyAlignment="1">
      <alignment vertical="center"/>
      <protection/>
    </xf>
    <xf numFmtId="0" fontId="6" fillId="0" borderId="0" xfId="78" applyFont="1" applyBorder="1" applyAlignment="1">
      <alignment horizontal="left" vertical="center"/>
      <protection/>
    </xf>
    <xf numFmtId="0" fontId="6" fillId="0" borderId="0" xfId="78" applyFont="1" applyBorder="1" applyAlignment="1">
      <alignment horizontal="center" vertical="center"/>
      <protection/>
    </xf>
    <xf numFmtId="0" fontId="5" fillId="0" borderId="0" xfId="78" applyFont="1" applyBorder="1" applyAlignment="1">
      <alignment vertical="center"/>
      <protection/>
    </xf>
    <xf numFmtId="0" fontId="1" fillId="0" borderId="0" xfId="78" applyFont="1" applyBorder="1" applyAlignment="1">
      <alignment vertical="center"/>
      <protection/>
    </xf>
    <xf numFmtId="41" fontId="5" fillId="0" borderId="12" xfId="51" applyFont="1" applyBorder="1" applyAlignment="1">
      <alignment vertical="center"/>
    </xf>
    <xf numFmtId="41" fontId="5" fillId="0" borderId="12" xfId="5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8" fontId="5" fillId="0" borderId="12" xfId="51" applyNumberFormat="1" applyFont="1" applyBorder="1" applyAlignment="1">
      <alignment vertical="center"/>
    </xf>
    <xf numFmtId="41" fontId="4" fillId="0" borderId="12" xfId="51" applyFont="1" applyBorder="1" applyAlignment="1">
      <alignment vertical="center"/>
    </xf>
    <xf numFmtId="0" fontId="5" fillId="0" borderId="13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41" fontId="5" fillId="0" borderId="0" xfId="51" applyFont="1" applyBorder="1" applyAlignment="1">
      <alignment horizontal="center" vertical="center"/>
    </xf>
    <xf numFmtId="178" fontId="14" fillId="0" borderId="14" xfId="79" applyNumberFormat="1" applyFont="1" applyBorder="1" applyAlignment="1">
      <alignment horizontal="centerContinuous" vertical="center"/>
      <protection/>
    </xf>
    <xf numFmtId="41" fontId="14" fillId="0" borderId="15" xfId="51" applyFont="1" applyBorder="1" applyAlignment="1">
      <alignment horizontal="centerContinuous" vertical="center"/>
    </xf>
    <xf numFmtId="41" fontId="14" fillId="0" borderId="16" xfId="51" applyFont="1" applyBorder="1" applyAlignment="1">
      <alignment horizontal="centerContinuous" vertical="center"/>
    </xf>
    <xf numFmtId="41" fontId="14" fillId="0" borderId="17" xfId="51" applyFont="1" applyBorder="1" applyAlignment="1">
      <alignment horizontal="centerContinuous" vertical="center"/>
    </xf>
    <xf numFmtId="178" fontId="14" fillId="0" borderId="17" xfId="79" applyNumberFormat="1" applyFont="1" applyBorder="1" applyAlignment="1">
      <alignment horizontal="centerContinuous" vertical="center"/>
      <protection/>
    </xf>
    <xf numFmtId="41" fontId="14" fillId="0" borderId="18" xfId="51" applyFont="1" applyBorder="1" applyAlignment="1">
      <alignment horizontal="centerContinuous" vertical="center"/>
    </xf>
    <xf numFmtId="41" fontId="14" fillId="0" borderId="18" xfId="51" applyFont="1" applyBorder="1" applyAlignment="1">
      <alignment horizontal="center" vertical="center"/>
    </xf>
    <xf numFmtId="41" fontId="14" fillId="0" borderId="18" xfId="51" applyFont="1" applyBorder="1" applyAlignment="1">
      <alignment horizontal="right" vertical="center"/>
    </xf>
    <xf numFmtId="41" fontId="14" fillId="0" borderId="19" xfId="51" applyFont="1" applyBorder="1" applyAlignment="1">
      <alignment horizontal="center" vertical="center"/>
    </xf>
    <xf numFmtId="41" fontId="15" fillId="0" borderId="0" xfId="51" applyFont="1" applyBorder="1" applyAlignment="1">
      <alignment horizontal="center" vertical="center"/>
    </xf>
    <xf numFmtId="178" fontId="15" fillId="0" borderId="0" xfId="79" applyNumberFormat="1" applyFont="1" applyBorder="1" applyAlignment="1">
      <alignment horizontal="center" vertical="center"/>
      <protection/>
    </xf>
    <xf numFmtId="41" fontId="14" fillId="0" borderId="12" xfId="51" applyFont="1" applyBorder="1" applyAlignment="1">
      <alignment horizontal="center" vertical="center"/>
    </xf>
    <xf numFmtId="41" fontId="14" fillId="0" borderId="12" xfId="51" applyFont="1" applyBorder="1" applyAlignment="1">
      <alignment horizontal="right" vertical="center"/>
    </xf>
    <xf numFmtId="41" fontId="14" fillId="0" borderId="20" xfId="51" applyFont="1" applyBorder="1" applyAlignment="1">
      <alignment horizontal="right" vertical="center"/>
    </xf>
    <xf numFmtId="178" fontId="16" fillId="0" borderId="21" xfId="79" applyNumberFormat="1" applyFont="1" applyBorder="1" applyAlignment="1">
      <alignment horizontal="center"/>
      <protection/>
    </xf>
    <xf numFmtId="178" fontId="16" fillId="0" borderId="0" xfId="79" applyNumberFormat="1" applyFont="1" applyBorder="1" applyAlignment="1">
      <alignment horizontal="center"/>
      <protection/>
    </xf>
    <xf numFmtId="178" fontId="16" fillId="0" borderId="22" xfId="79" applyNumberFormat="1" applyFont="1" applyBorder="1" applyAlignment="1">
      <alignment horizontal="center"/>
      <protection/>
    </xf>
    <xf numFmtId="178" fontId="16" fillId="0" borderId="23" xfId="79" applyNumberFormat="1" applyFont="1" applyBorder="1" applyAlignment="1">
      <alignment horizontal="center"/>
      <protection/>
    </xf>
    <xf numFmtId="178" fontId="15" fillId="0" borderId="21" xfId="79" applyNumberFormat="1" applyFont="1" applyBorder="1" applyAlignment="1">
      <alignment horizontal="center" vertical="center"/>
      <protection/>
    </xf>
    <xf numFmtId="41" fontId="15" fillId="0" borderId="23" xfId="5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2" fontId="5" fillId="0" borderId="12" xfId="0" applyNumberFormat="1" applyFont="1" applyBorder="1" applyAlignment="1">
      <alignment horizontal="left" vertical="center" shrinkToFit="1"/>
    </xf>
    <xf numFmtId="192" fontId="5" fillId="0" borderId="12" xfId="0" applyNumberFormat="1" applyFont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41" fontId="5" fillId="0" borderId="12" xfId="5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1" fontId="4" fillId="0" borderId="12" xfId="51" applyFont="1" applyFill="1" applyBorder="1" applyAlignment="1">
      <alignment vertical="center"/>
    </xf>
    <xf numFmtId="0" fontId="5" fillId="0" borderId="0" xfId="78" applyFont="1" applyFill="1" applyBorder="1" applyAlignment="1">
      <alignment vertical="center"/>
      <protection/>
    </xf>
    <xf numFmtId="0" fontId="4" fillId="0" borderId="13" xfId="0" applyFont="1" applyBorder="1" applyAlignment="1">
      <alignment horizontal="center" vertical="center"/>
    </xf>
    <xf numFmtId="41" fontId="4" fillId="0" borderId="20" xfId="51" applyFont="1" applyBorder="1" applyAlignment="1">
      <alignment vertical="center"/>
    </xf>
    <xf numFmtId="41" fontId="5" fillId="0" borderId="0" xfId="78" applyNumberFormat="1" applyFont="1" applyBorder="1" applyAlignment="1">
      <alignment vertical="center"/>
      <protection/>
    </xf>
    <xf numFmtId="0" fontId="1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1" fontId="5" fillId="0" borderId="0" xfId="51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49" fontId="22" fillId="0" borderId="0" xfId="0" applyNumberFormat="1" applyFont="1" applyBorder="1" applyAlignment="1">
      <alignment horizontal="left" vertical="center" wrapText="1" shrinkToFit="1"/>
    </xf>
    <xf numFmtId="41" fontId="4" fillId="0" borderId="0" xfId="5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1" fontId="5" fillId="0" borderId="0" xfId="51" applyFont="1" applyBorder="1" applyAlignment="1">
      <alignment horizontal="right" vertical="center"/>
    </xf>
    <xf numFmtId="0" fontId="6" fillId="0" borderId="0" xfId="78" applyFont="1" applyFill="1" applyBorder="1" applyAlignment="1">
      <alignment vertical="center"/>
      <protection/>
    </xf>
    <xf numFmtId="0" fontId="5" fillId="0" borderId="0" xfId="76" applyFont="1" applyBorder="1" applyAlignment="1">
      <alignment vertical="center"/>
      <protection/>
    </xf>
    <xf numFmtId="0" fontId="5" fillId="0" borderId="0" xfId="76" applyFont="1" applyBorder="1" applyAlignment="1">
      <alignment horizontal="left" vertical="center" shrinkToFit="1"/>
      <protection/>
    </xf>
    <xf numFmtId="0" fontId="5" fillId="0" borderId="0" xfId="76" applyFont="1" applyBorder="1" applyAlignment="1">
      <alignment horizontal="center" vertical="center"/>
      <protection/>
    </xf>
    <xf numFmtId="209" fontId="5" fillId="0" borderId="12" xfId="0" applyNumberFormat="1" applyFont="1" applyFill="1" applyBorder="1" applyAlignment="1">
      <alignment vertical="center"/>
    </xf>
    <xf numFmtId="41" fontId="26" fillId="0" borderId="12" xfId="51" applyFont="1" applyBorder="1" applyAlignment="1">
      <alignment vertical="center"/>
    </xf>
    <xf numFmtId="41" fontId="1" fillId="0" borderId="12" xfId="51" applyFont="1" applyBorder="1" applyAlignment="1">
      <alignment vertical="center"/>
    </xf>
    <xf numFmtId="0" fontId="26" fillId="0" borderId="0" xfId="78" applyFont="1" applyBorder="1" applyAlignment="1">
      <alignment vertical="center"/>
      <protection/>
    </xf>
    <xf numFmtId="0" fontId="4" fillId="0" borderId="0" xfId="78" applyFont="1" applyFill="1" applyBorder="1" applyAlignment="1">
      <alignment vertical="center"/>
      <protection/>
    </xf>
    <xf numFmtId="0" fontId="5" fillId="0" borderId="12" xfId="0" applyNumberFormat="1" applyFont="1" applyBorder="1" applyAlignment="1">
      <alignment vertical="center"/>
    </xf>
    <xf numFmtId="0" fontId="5" fillId="0" borderId="12" xfId="77" applyFont="1" applyBorder="1" applyAlignment="1">
      <alignment horizontal="left" vertical="center" shrinkToFit="1"/>
      <protection/>
    </xf>
    <xf numFmtId="0" fontId="5" fillId="0" borderId="12" xfId="77" applyFont="1" applyBorder="1" applyAlignment="1">
      <alignment vertical="center"/>
      <protection/>
    </xf>
    <xf numFmtId="0" fontId="5" fillId="0" borderId="12" xfId="77" applyFont="1" applyBorder="1" applyAlignment="1">
      <alignment horizontal="center" vertical="center"/>
      <protection/>
    </xf>
    <xf numFmtId="0" fontId="6" fillId="0" borderId="20" xfId="78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0" fontId="23" fillId="0" borderId="20" xfId="78" applyFont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6" fillId="0" borderId="20" xfId="78" applyFont="1" applyFill="1" applyBorder="1" applyAlignment="1">
      <alignment vertical="center"/>
      <protection/>
    </xf>
    <xf numFmtId="49" fontId="6" fillId="0" borderId="20" xfId="0" applyNumberFormat="1" applyFont="1" applyBorder="1" applyAlignment="1">
      <alignment horizontal="left" vertical="center"/>
    </xf>
    <xf numFmtId="0" fontId="5" fillId="0" borderId="13" xfId="77" applyFont="1" applyBorder="1" applyAlignment="1">
      <alignment vertical="center"/>
      <protection/>
    </xf>
    <xf numFmtId="49" fontId="5" fillId="0" borderId="20" xfId="76" applyNumberFormat="1" applyFont="1" applyBorder="1" applyAlignment="1">
      <alignment horizontal="left" vertical="center"/>
      <protection/>
    </xf>
    <xf numFmtId="0" fontId="5" fillId="0" borderId="20" xfId="78" applyFont="1" applyBorder="1" applyAlignment="1">
      <alignment vertical="center"/>
      <protection/>
    </xf>
    <xf numFmtId="0" fontId="5" fillId="0" borderId="24" xfId="77" applyFont="1" applyFill="1" applyBorder="1" applyAlignment="1">
      <alignment vertical="center"/>
      <protection/>
    </xf>
    <xf numFmtId="0" fontId="5" fillId="0" borderId="25" xfId="77" applyFont="1" applyBorder="1" applyAlignment="1">
      <alignment horizontal="left" vertical="center" shrinkToFit="1"/>
      <protection/>
    </xf>
    <xf numFmtId="0" fontId="5" fillId="0" borderId="25" xfId="77" applyFont="1" applyBorder="1" applyAlignment="1">
      <alignment vertical="center"/>
      <protection/>
    </xf>
    <xf numFmtId="0" fontId="5" fillId="0" borderId="25" xfId="77" applyFont="1" applyBorder="1" applyAlignment="1">
      <alignment horizontal="center" vertical="center"/>
      <protection/>
    </xf>
    <xf numFmtId="41" fontId="5" fillId="0" borderId="25" xfId="51" applyFont="1" applyBorder="1" applyAlignment="1">
      <alignment vertical="center"/>
    </xf>
    <xf numFmtId="0" fontId="5" fillId="0" borderId="26" xfId="78" applyFont="1" applyBorder="1" applyAlignment="1">
      <alignment vertical="center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41" fontId="1" fillId="0" borderId="25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 shrinkToFit="1"/>
    </xf>
    <xf numFmtId="0" fontId="6" fillId="0" borderId="20" xfId="77" applyFont="1" applyBorder="1" applyAlignment="1">
      <alignment horizontal="left" vertical="center" wrapText="1"/>
      <protection/>
    </xf>
    <xf numFmtId="0" fontId="1" fillId="0" borderId="13" xfId="77" applyFont="1" applyBorder="1" applyAlignment="1">
      <alignment horizontal="center" vertical="center"/>
      <protection/>
    </xf>
    <xf numFmtId="0" fontId="26" fillId="0" borderId="12" xfId="77" applyFont="1" applyBorder="1" applyAlignment="1">
      <alignment horizontal="left" vertical="center"/>
      <protection/>
    </xf>
    <xf numFmtId="0" fontId="26" fillId="0" borderId="12" xfId="77" applyFont="1" applyBorder="1" applyAlignment="1">
      <alignment vertical="center"/>
      <protection/>
    </xf>
    <xf numFmtId="0" fontId="26" fillId="0" borderId="12" xfId="77" applyFont="1" applyBorder="1" applyAlignment="1">
      <alignment horizontal="center" vertical="center"/>
      <protection/>
    </xf>
    <xf numFmtId="0" fontId="26" fillId="0" borderId="0" xfId="78" applyFont="1" applyBorder="1" applyAlignment="1">
      <alignment horizontal="center" vertical="center"/>
      <protection/>
    </xf>
    <xf numFmtId="0" fontId="6" fillId="0" borderId="20" xfId="77" applyNumberFormat="1" applyFont="1" applyBorder="1" applyAlignment="1">
      <alignment horizontal="left" vertical="center" wrapText="1"/>
      <protection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0" xfId="78" applyFont="1" applyFill="1" applyBorder="1" applyAlignment="1">
      <alignment horizontal="center" vertical="center"/>
      <protection/>
    </xf>
    <xf numFmtId="49" fontId="6" fillId="0" borderId="0" xfId="0" applyNumberFormat="1" applyFont="1" applyBorder="1" applyAlignment="1">
      <alignment horizontal="left" vertical="center" wrapText="1" shrinkToFit="1"/>
    </xf>
    <xf numFmtId="0" fontId="50" fillId="0" borderId="0" xfId="73">
      <alignment vertical="center"/>
      <protection/>
    </xf>
    <xf numFmtId="0" fontId="67" fillId="0" borderId="0" xfId="73" applyFont="1">
      <alignment vertical="center"/>
      <protection/>
    </xf>
    <xf numFmtId="0" fontId="0" fillId="0" borderId="0" xfId="74">
      <alignment/>
      <protection/>
    </xf>
    <xf numFmtId="3" fontId="6" fillId="0" borderId="0" xfId="78" applyNumberFormat="1" applyFont="1" applyBorder="1" applyAlignment="1">
      <alignment horizontal="center" vertical="center"/>
      <protection/>
    </xf>
    <xf numFmtId="11" fontId="6" fillId="0" borderId="0" xfId="78" applyNumberFormat="1" applyFont="1" applyBorder="1" applyAlignment="1">
      <alignment horizontal="center" vertical="center"/>
      <protection/>
    </xf>
    <xf numFmtId="0" fontId="67" fillId="0" borderId="0" xfId="73" applyFont="1">
      <alignment vertical="center"/>
      <protection/>
    </xf>
    <xf numFmtId="0" fontId="29" fillId="0" borderId="13" xfId="77" applyFont="1" applyBorder="1" applyAlignment="1">
      <alignment vertical="center"/>
      <protection/>
    </xf>
    <xf numFmtId="0" fontId="29" fillId="0" borderId="12" xfId="77" applyFont="1" applyBorder="1" applyAlignment="1">
      <alignment horizontal="center" vertical="center" shrinkToFit="1"/>
      <protection/>
    </xf>
    <xf numFmtId="0" fontId="29" fillId="0" borderId="12" xfId="77" applyFont="1" applyBorder="1" applyAlignment="1">
      <alignment vertical="center"/>
      <protection/>
    </xf>
    <xf numFmtId="0" fontId="29" fillId="0" borderId="12" xfId="77" applyFont="1" applyBorder="1" applyAlignment="1">
      <alignment horizontal="center" vertical="center"/>
      <protection/>
    </xf>
    <xf numFmtId="0" fontId="29" fillId="0" borderId="24" xfId="77" applyFont="1" applyFill="1" applyBorder="1" applyAlignment="1">
      <alignment vertical="center"/>
      <protection/>
    </xf>
    <xf numFmtId="0" fontId="29" fillId="0" borderId="25" xfId="77" applyFont="1" applyBorder="1" applyAlignment="1">
      <alignment horizontal="center" vertical="center" shrinkToFit="1"/>
      <protection/>
    </xf>
    <xf numFmtId="0" fontId="29" fillId="0" borderId="25" xfId="77" applyFont="1" applyBorder="1" applyAlignment="1">
      <alignment vertical="center"/>
      <protection/>
    </xf>
    <xf numFmtId="0" fontId="29" fillId="0" borderId="25" xfId="77" applyFont="1" applyBorder="1" applyAlignment="1">
      <alignment horizontal="center" vertical="center"/>
      <protection/>
    </xf>
    <xf numFmtId="0" fontId="29" fillId="0" borderId="12" xfId="77" applyFont="1" applyFill="1" applyBorder="1" applyAlignment="1">
      <alignment horizontal="center" vertical="center"/>
      <protection/>
    </xf>
    <xf numFmtId="0" fontId="5" fillId="0" borderId="12" xfId="0" applyNumberFormat="1" applyFont="1" applyFill="1" applyBorder="1" applyAlignment="1">
      <alignment vertical="center" shrinkToFit="1"/>
    </xf>
    <xf numFmtId="41" fontId="5" fillId="0" borderId="20" xfId="51" applyFont="1" applyFill="1" applyBorder="1" applyAlignment="1">
      <alignment vertical="center"/>
    </xf>
    <xf numFmtId="0" fontId="6" fillId="0" borderId="20" xfId="51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 shrinkToFit="1"/>
    </xf>
    <xf numFmtId="41" fontId="25" fillId="0" borderId="20" xfId="51" applyFont="1" applyFill="1" applyBorder="1" applyAlignment="1">
      <alignment vertical="center"/>
    </xf>
    <xf numFmtId="10" fontId="5" fillId="0" borderId="20" xfId="51" applyNumberFormat="1" applyFont="1" applyFill="1" applyBorder="1" applyAlignment="1">
      <alignment vertical="center"/>
    </xf>
    <xf numFmtId="188" fontId="5" fillId="0" borderId="12" xfId="51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2" xfId="78" applyFont="1" applyFill="1" applyBorder="1" applyAlignment="1">
      <alignment vertical="center"/>
      <protection/>
    </xf>
    <xf numFmtId="10" fontId="6" fillId="0" borderId="20" xfId="51" applyNumberFormat="1" applyFont="1" applyFill="1" applyBorder="1" applyAlignment="1">
      <alignment vertical="center"/>
    </xf>
    <xf numFmtId="9" fontId="6" fillId="0" borderId="0" xfId="78" applyNumberFormat="1" applyFont="1" applyBorder="1" applyAlignment="1">
      <alignment vertical="center"/>
      <protection/>
    </xf>
    <xf numFmtId="181" fontId="5" fillId="0" borderId="0" xfId="78" applyNumberFormat="1" applyFont="1" applyBorder="1" applyAlignment="1">
      <alignment vertical="center"/>
      <protection/>
    </xf>
    <xf numFmtId="9" fontId="6" fillId="0" borderId="0" xfId="46" applyFont="1" applyBorder="1" applyAlignment="1">
      <alignment vertical="center"/>
    </xf>
    <xf numFmtId="43" fontId="6" fillId="0" borderId="0" xfId="78" applyNumberFormat="1" applyFont="1" applyBorder="1" applyAlignment="1">
      <alignment vertical="center"/>
      <protection/>
    </xf>
    <xf numFmtId="43" fontId="5" fillId="0" borderId="0" xfId="78" applyNumberFormat="1" applyFont="1" applyBorder="1" applyAlignment="1">
      <alignment vertical="center"/>
      <protection/>
    </xf>
    <xf numFmtId="206" fontId="5" fillId="0" borderId="12" xfId="0" applyNumberFormat="1" applyFont="1" applyFill="1" applyBorder="1" applyAlignment="1">
      <alignment vertical="center"/>
    </xf>
    <xf numFmtId="237" fontId="6" fillId="0" borderId="0" xfId="51" applyNumberFormat="1" applyFont="1" applyBorder="1" applyAlignment="1">
      <alignment horizontal="center" vertical="center"/>
    </xf>
    <xf numFmtId="228" fontId="6" fillId="0" borderId="0" xfId="51" applyNumberFormat="1" applyFont="1" applyBorder="1" applyAlignment="1">
      <alignment vertical="center"/>
    </xf>
    <xf numFmtId="229" fontId="6" fillId="0" borderId="0" xfId="51" applyNumberFormat="1" applyFont="1" applyBorder="1" applyAlignment="1">
      <alignment vertical="center"/>
    </xf>
    <xf numFmtId="0" fontId="67" fillId="0" borderId="13" xfId="73" applyFont="1" applyBorder="1" applyAlignment="1">
      <alignment horizontal="center" vertical="center"/>
      <protection/>
    </xf>
    <xf numFmtId="0" fontId="67" fillId="0" borderId="24" xfId="73" applyFont="1" applyBorder="1" applyAlignment="1">
      <alignment horizontal="center" vertical="center"/>
      <protection/>
    </xf>
    <xf numFmtId="0" fontId="67" fillId="0" borderId="26" xfId="73" applyFont="1" applyBorder="1" applyAlignment="1">
      <alignment horizontal="center" vertical="center"/>
      <protection/>
    </xf>
    <xf numFmtId="0" fontId="67" fillId="0" borderId="12" xfId="73" applyFont="1" applyBorder="1" applyAlignment="1">
      <alignment horizontal="center" vertical="center"/>
      <protection/>
    </xf>
    <xf numFmtId="0" fontId="67" fillId="0" borderId="20" xfId="73" applyFont="1" applyBorder="1" applyAlignment="1">
      <alignment horizontal="center" vertical="center"/>
      <protection/>
    </xf>
    <xf numFmtId="211" fontId="67" fillId="0" borderId="12" xfId="73" applyNumberFormat="1" applyFont="1" applyBorder="1" applyAlignment="1">
      <alignment horizontal="center" vertical="center"/>
      <protection/>
    </xf>
    <xf numFmtId="212" fontId="67" fillId="0" borderId="12" xfId="73" applyNumberFormat="1" applyFont="1" applyBorder="1" applyAlignment="1">
      <alignment horizontal="center" vertical="center"/>
      <protection/>
    </xf>
    <xf numFmtId="3" fontId="67" fillId="0" borderId="12" xfId="73" applyNumberFormat="1" applyFont="1" applyBorder="1" applyAlignment="1">
      <alignment horizontal="center" vertical="center"/>
      <protection/>
    </xf>
    <xf numFmtId="11" fontId="67" fillId="0" borderId="20" xfId="73" applyNumberFormat="1" applyFont="1" applyBorder="1" applyAlignment="1">
      <alignment horizontal="center" vertical="center"/>
      <protection/>
    </xf>
    <xf numFmtId="213" fontId="67" fillId="0" borderId="12" xfId="73" applyNumberFormat="1" applyFont="1" applyBorder="1" applyAlignment="1">
      <alignment horizontal="center" vertical="center"/>
      <protection/>
    </xf>
    <xf numFmtId="214" fontId="67" fillId="0" borderId="12" xfId="73" applyNumberFormat="1" applyFont="1" applyBorder="1" applyAlignment="1">
      <alignment horizontal="center" vertical="center"/>
      <protection/>
    </xf>
    <xf numFmtId="0" fontId="67" fillId="0" borderId="0" xfId="73" applyFont="1" applyBorder="1" applyAlignment="1">
      <alignment vertical="center"/>
      <protection/>
    </xf>
    <xf numFmtId="0" fontId="67" fillId="0" borderId="25" xfId="73" applyFont="1" applyBorder="1" applyAlignment="1">
      <alignment horizontal="center" vertical="center"/>
      <protection/>
    </xf>
    <xf numFmtId="215" fontId="67" fillId="0" borderId="25" xfId="73" applyNumberFormat="1" applyFont="1" applyBorder="1" applyAlignment="1">
      <alignment horizontal="center" vertical="center"/>
      <protection/>
    </xf>
    <xf numFmtId="212" fontId="67" fillId="0" borderId="25" xfId="73" applyNumberFormat="1" applyFont="1" applyBorder="1" applyAlignment="1">
      <alignment horizontal="center" vertical="center"/>
      <protection/>
    </xf>
    <xf numFmtId="3" fontId="67" fillId="0" borderId="25" xfId="73" applyNumberFormat="1" applyFont="1" applyBorder="1" applyAlignment="1">
      <alignment horizontal="center" vertical="center"/>
      <protection/>
    </xf>
    <xf numFmtId="11" fontId="67" fillId="0" borderId="26" xfId="73" applyNumberFormat="1" applyFont="1" applyBorder="1" applyAlignment="1">
      <alignment horizontal="center" vertical="center"/>
      <protection/>
    </xf>
    <xf numFmtId="41" fontId="29" fillId="0" borderId="20" xfId="52" applyFont="1" applyBorder="1" applyAlignment="1">
      <alignment vertical="center"/>
    </xf>
    <xf numFmtId="41" fontId="29" fillId="0" borderId="26" xfId="52" applyFont="1" applyBorder="1" applyAlignment="1">
      <alignment vertical="center"/>
    </xf>
    <xf numFmtId="0" fontId="68" fillId="0" borderId="27" xfId="73" applyFont="1" applyBorder="1" applyAlignment="1">
      <alignment vertical="center"/>
      <protection/>
    </xf>
    <xf numFmtId="0" fontId="68" fillId="0" borderId="18" xfId="73" applyFont="1" applyBorder="1" applyAlignment="1">
      <alignment vertical="center"/>
      <protection/>
    </xf>
    <xf numFmtId="0" fontId="68" fillId="0" borderId="19" xfId="73" applyFont="1" applyBorder="1" applyAlignment="1">
      <alignment vertical="center"/>
      <protection/>
    </xf>
    <xf numFmtId="0" fontId="69" fillId="0" borderId="12" xfId="73" applyFont="1" applyBorder="1" applyAlignment="1">
      <alignment horizontal="center" vertical="center"/>
      <protection/>
    </xf>
    <xf numFmtId="0" fontId="69" fillId="0" borderId="0" xfId="73" applyFont="1" applyAlignment="1">
      <alignment horizontal="center" vertical="center"/>
      <protection/>
    </xf>
    <xf numFmtId="0" fontId="69" fillId="0" borderId="25" xfId="73" applyFont="1" applyBorder="1" applyAlignment="1">
      <alignment horizontal="center" vertical="center"/>
      <protection/>
    </xf>
    <xf numFmtId="213" fontId="67" fillId="0" borderId="25" xfId="73" applyNumberFormat="1" applyFont="1" applyBorder="1" applyAlignment="1">
      <alignment horizontal="center" vertical="center"/>
      <protection/>
    </xf>
    <xf numFmtId="187" fontId="4" fillId="0" borderId="0" xfId="51" applyNumberFormat="1" applyFont="1" applyBorder="1" applyAlignment="1">
      <alignment horizontal="left" vertical="center"/>
    </xf>
    <xf numFmtId="0" fontId="6" fillId="0" borderId="0" xfId="46" applyNumberFormat="1" applyFont="1" applyBorder="1" applyAlignment="1">
      <alignment vertical="center"/>
    </xf>
    <xf numFmtId="206" fontId="5" fillId="0" borderId="12" xfId="0" applyNumberFormat="1" applyFont="1" applyBorder="1" applyAlignment="1">
      <alignment vertical="center"/>
    </xf>
    <xf numFmtId="178" fontId="14" fillId="0" borderId="28" xfId="79" applyNumberFormat="1" applyFont="1" applyBorder="1" applyAlignment="1">
      <alignment horizontal="center" vertical="center"/>
      <protection/>
    </xf>
    <xf numFmtId="178" fontId="14" fillId="0" borderId="29" xfId="79" applyNumberFormat="1" applyFont="1" applyBorder="1" applyAlignment="1">
      <alignment horizontal="center" vertical="center"/>
      <protection/>
    </xf>
    <xf numFmtId="178" fontId="14" fillId="0" borderId="30" xfId="79" applyNumberFormat="1" applyFont="1" applyBorder="1" applyAlignment="1">
      <alignment horizontal="center" vertical="center"/>
      <protection/>
    </xf>
    <xf numFmtId="41" fontId="14" fillId="0" borderId="31" xfId="51" applyFont="1" applyBorder="1" applyAlignment="1">
      <alignment horizontal="center" vertical="center"/>
    </xf>
    <xf numFmtId="41" fontId="14" fillId="0" borderId="30" xfId="51" applyFont="1" applyBorder="1" applyAlignment="1">
      <alignment horizontal="center" vertical="center"/>
    </xf>
    <xf numFmtId="178" fontId="15" fillId="0" borderId="21" xfId="79" applyNumberFormat="1" applyFont="1" applyBorder="1" applyAlignment="1">
      <alignment horizontal="center" vertical="center"/>
      <protection/>
    </xf>
    <xf numFmtId="178" fontId="15" fillId="0" borderId="0" xfId="79" applyNumberFormat="1" applyFont="1" applyBorder="1" applyAlignment="1">
      <alignment horizontal="center" vertical="center"/>
      <protection/>
    </xf>
    <xf numFmtId="178" fontId="15" fillId="0" borderId="32" xfId="79" applyNumberFormat="1" applyFont="1" applyBorder="1" applyAlignment="1">
      <alignment horizontal="center" vertical="center"/>
      <protection/>
    </xf>
    <xf numFmtId="178" fontId="15" fillId="0" borderId="33" xfId="79" applyNumberFormat="1" applyFont="1" applyBorder="1" applyAlignment="1">
      <alignment horizontal="center" vertical="center"/>
      <protection/>
    </xf>
    <xf numFmtId="41" fontId="15" fillId="0" borderId="23" xfId="51" applyFont="1" applyBorder="1" applyAlignment="1">
      <alignment horizontal="center" vertical="center"/>
    </xf>
    <xf numFmtId="41" fontId="15" fillId="0" borderId="34" xfId="51" applyFont="1" applyBorder="1" applyAlignment="1">
      <alignment horizontal="center" vertical="center"/>
    </xf>
    <xf numFmtId="41" fontId="15" fillId="0" borderId="33" xfId="51" applyFont="1" applyBorder="1" applyAlignment="1">
      <alignment horizontal="center" vertical="center"/>
    </xf>
    <xf numFmtId="41" fontId="17" fillId="0" borderId="21" xfId="51" applyFont="1" applyBorder="1" applyAlignment="1">
      <alignment horizontal="left" vertical="top"/>
    </xf>
    <xf numFmtId="41" fontId="17" fillId="0" borderId="0" xfId="51" applyFont="1" applyBorder="1" applyAlignment="1">
      <alignment horizontal="left" vertical="top"/>
    </xf>
    <xf numFmtId="41" fontId="17" fillId="0" borderId="23" xfId="51" applyFont="1" applyBorder="1" applyAlignment="1">
      <alignment horizontal="left" vertical="top"/>
    </xf>
    <xf numFmtId="178" fontId="16" fillId="0" borderId="35" xfId="79" applyNumberFormat="1" applyFont="1" applyBorder="1" applyAlignment="1">
      <alignment/>
      <protection/>
    </xf>
    <xf numFmtId="178" fontId="16" fillId="0" borderId="36" xfId="79" applyNumberFormat="1" applyFont="1" applyBorder="1" applyAlignment="1">
      <alignment/>
      <protection/>
    </xf>
    <xf numFmtId="178" fontId="16" fillId="0" borderId="37" xfId="79" applyNumberFormat="1" applyFont="1" applyBorder="1" applyAlignment="1">
      <alignment/>
      <protection/>
    </xf>
    <xf numFmtId="178" fontId="16" fillId="0" borderId="21" xfId="79" applyNumberFormat="1" applyFont="1" applyBorder="1" applyAlignment="1">
      <alignment/>
      <protection/>
    </xf>
    <xf numFmtId="178" fontId="16" fillId="0" borderId="0" xfId="79" applyNumberFormat="1" applyFont="1" applyBorder="1" applyAlignment="1">
      <alignment/>
      <protection/>
    </xf>
    <xf numFmtId="178" fontId="16" fillId="0" borderId="23" xfId="79" applyNumberFormat="1" applyFont="1" applyBorder="1" applyAlignment="1">
      <alignment/>
      <protection/>
    </xf>
    <xf numFmtId="178" fontId="19" fillId="0" borderId="21" xfId="79" applyNumberFormat="1" applyFont="1" applyBorder="1" applyAlignment="1">
      <alignment horizontal="center" vertical="center"/>
      <protection/>
    </xf>
    <xf numFmtId="178" fontId="19" fillId="0" borderId="0" xfId="79" applyNumberFormat="1" applyFont="1" applyBorder="1" applyAlignment="1">
      <alignment horizontal="center" vertical="center"/>
      <protection/>
    </xf>
    <xf numFmtId="178" fontId="19" fillId="0" borderId="23" xfId="79" applyNumberFormat="1" applyFont="1" applyBorder="1" applyAlignment="1">
      <alignment horizontal="center" vertical="center"/>
      <protection/>
    </xf>
    <xf numFmtId="41" fontId="5" fillId="0" borderId="38" xfId="51" applyFont="1" applyBorder="1" applyAlignment="1">
      <alignment horizontal="center" vertical="center"/>
    </xf>
    <xf numFmtId="41" fontId="5" fillId="0" borderId="39" xfId="51" applyFont="1" applyBorder="1" applyAlignment="1">
      <alignment horizontal="center" vertical="center"/>
    </xf>
    <xf numFmtId="41" fontId="5" fillId="0" borderId="20" xfId="5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8" fillId="0" borderId="40" xfId="0" applyNumberFormat="1" applyFont="1" applyBorder="1" applyAlignment="1">
      <alignment horizontal="left" vertical="center"/>
    </xf>
    <xf numFmtId="0" fontId="18" fillId="0" borderId="41" xfId="0" applyNumberFormat="1" applyFont="1" applyBorder="1" applyAlignment="1">
      <alignment horizontal="left" vertical="center"/>
    </xf>
    <xf numFmtId="0" fontId="18" fillId="0" borderId="42" xfId="0" applyNumberFormat="1" applyFont="1" applyBorder="1" applyAlignment="1">
      <alignment horizontal="left" vertical="center"/>
    </xf>
    <xf numFmtId="0" fontId="5" fillId="0" borderId="43" xfId="78" applyFont="1" applyBorder="1" applyAlignment="1">
      <alignment horizontal="center" vertical="center"/>
      <protection/>
    </xf>
    <xf numFmtId="0" fontId="5" fillId="0" borderId="13" xfId="78" applyFont="1" applyBorder="1" applyAlignment="1">
      <alignment horizontal="center" vertical="center"/>
      <protection/>
    </xf>
    <xf numFmtId="0" fontId="5" fillId="0" borderId="38" xfId="78" applyFont="1" applyBorder="1" applyAlignment="1">
      <alignment horizontal="center" vertical="center"/>
      <protection/>
    </xf>
    <xf numFmtId="0" fontId="5" fillId="0" borderId="12" xfId="78" applyFont="1" applyBorder="1" applyAlignment="1">
      <alignment horizontal="center" vertical="center"/>
      <protection/>
    </xf>
    <xf numFmtId="0" fontId="4" fillId="0" borderId="13" xfId="76" applyFont="1" applyBorder="1" applyAlignment="1">
      <alignment vertical="center"/>
      <protection/>
    </xf>
    <xf numFmtId="0" fontId="4" fillId="0" borderId="12" xfId="76" applyFont="1" applyBorder="1" applyAlignment="1">
      <alignment vertical="center"/>
      <protection/>
    </xf>
    <xf numFmtId="0" fontId="4" fillId="0" borderId="20" xfId="76" applyFont="1" applyBorder="1" applyAlignment="1">
      <alignment vertical="center"/>
      <protection/>
    </xf>
    <xf numFmtId="41" fontId="5" fillId="0" borderId="18" xfId="51" applyFont="1" applyBorder="1" applyAlignment="1">
      <alignment horizontal="center" vertical="center"/>
    </xf>
    <xf numFmtId="41" fontId="6" fillId="0" borderId="19" xfId="51" applyFont="1" applyBorder="1" applyAlignment="1">
      <alignment horizontal="center" vertical="center"/>
    </xf>
    <xf numFmtId="41" fontId="6" fillId="0" borderId="20" xfId="51" applyFont="1" applyBorder="1" applyAlignment="1">
      <alignment horizontal="center" vertical="center"/>
    </xf>
    <xf numFmtId="0" fontId="4" fillId="0" borderId="13" xfId="77" applyFont="1" applyBorder="1" applyAlignment="1">
      <alignment vertical="center"/>
      <protection/>
    </xf>
    <xf numFmtId="0" fontId="4" fillId="0" borderId="12" xfId="77" applyFont="1" applyBorder="1" applyAlignment="1">
      <alignment vertical="center"/>
      <protection/>
    </xf>
    <xf numFmtId="0" fontId="4" fillId="0" borderId="20" xfId="77" applyFont="1" applyBorder="1" applyAlignment="1">
      <alignment vertical="center"/>
      <protection/>
    </xf>
    <xf numFmtId="0" fontId="5" fillId="0" borderId="27" xfId="78" applyFont="1" applyBorder="1" applyAlignment="1">
      <alignment horizontal="center" vertical="center"/>
      <protection/>
    </xf>
    <xf numFmtId="0" fontId="5" fillId="0" borderId="18" xfId="78" applyFont="1" applyBorder="1" applyAlignment="1">
      <alignment horizontal="center" vertical="center"/>
      <protection/>
    </xf>
    <xf numFmtId="0" fontId="69" fillId="0" borderId="21" xfId="73" applyFont="1" applyBorder="1" applyAlignment="1">
      <alignment horizontal="center" vertical="center"/>
      <protection/>
    </xf>
    <xf numFmtId="0" fontId="68" fillId="0" borderId="40" xfId="73" applyFont="1" applyBorder="1" applyAlignment="1">
      <alignment vertical="center"/>
      <protection/>
    </xf>
    <xf numFmtId="0" fontId="68" fillId="0" borderId="42" xfId="73" applyFont="1" applyBorder="1" applyAlignment="1">
      <alignment vertical="center"/>
      <protection/>
    </xf>
    <xf numFmtId="0" fontId="68" fillId="0" borderId="40" xfId="73" applyFont="1" applyBorder="1" applyAlignment="1">
      <alignment horizontal="left" vertical="center"/>
      <protection/>
    </xf>
    <xf numFmtId="0" fontId="68" fillId="0" borderId="41" xfId="73" applyFont="1" applyBorder="1" applyAlignment="1">
      <alignment horizontal="left" vertical="center"/>
      <protection/>
    </xf>
    <xf numFmtId="0" fontId="68" fillId="0" borderId="42" xfId="73" applyFont="1" applyBorder="1" applyAlignment="1">
      <alignment horizontal="left" vertical="center"/>
      <protection/>
    </xf>
    <xf numFmtId="0" fontId="67" fillId="0" borderId="31" xfId="73" applyFont="1" applyBorder="1" applyAlignment="1">
      <alignment horizontal="center" vertical="center"/>
      <protection/>
    </xf>
    <xf numFmtId="0" fontId="67" fillId="0" borderId="44" xfId="73" applyFont="1" applyBorder="1" applyAlignment="1">
      <alignment horizontal="center" vertical="center"/>
      <protection/>
    </xf>
    <xf numFmtId="0" fontId="28" fillId="0" borderId="40" xfId="77" applyFont="1" applyBorder="1" applyAlignment="1">
      <alignment vertical="center"/>
      <protection/>
    </xf>
    <xf numFmtId="0" fontId="28" fillId="0" borderId="41" xfId="77" applyFont="1" applyBorder="1" applyAlignment="1">
      <alignment vertical="center"/>
      <protection/>
    </xf>
    <xf numFmtId="0" fontId="28" fillId="0" borderId="42" xfId="77" applyFont="1" applyBorder="1" applyAlignment="1">
      <alignment vertical="center"/>
      <protection/>
    </xf>
    <xf numFmtId="0" fontId="69" fillId="0" borderId="0" xfId="73" applyFont="1" applyAlignment="1">
      <alignment horizontal="center" vertical="center" wrapText="1"/>
      <protection/>
    </xf>
    <xf numFmtId="3" fontId="67" fillId="0" borderId="12" xfId="73" applyNumberFormat="1" applyFont="1" applyBorder="1" applyAlignment="1" quotePrefix="1">
      <alignment horizontal="center" vertical="center"/>
      <protection/>
    </xf>
    <xf numFmtId="3" fontId="67" fillId="0" borderId="25" xfId="73" applyNumberFormat="1" applyFont="1" applyBorder="1" applyAlignment="1" quotePrefix="1">
      <alignment horizontal="center" vertical="center"/>
      <protection/>
    </xf>
    <xf numFmtId="3" fontId="67" fillId="0" borderId="0" xfId="73" applyNumberFormat="1" applyFont="1">
      <alignment vertical="center"/>
      <protection/>
    </xf>
    <xf numFmtId="3" fontId="0" fillId="0" borderId="0" xfId="74" applyNumberFormat="1">
      <alignment/>
      <protection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Ç¥ÁØ_ÀÏÀ§´ë°¡ (2)" xfId="33"/>
    <cellStyle name="Header1" xfId="34"/>
    <cellStyle name="Header2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2 2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동부" xfId="65"/>
    <cellStyle name="콤마[ ]" xfId="66"/>
    <cellStyle name="콤마[*]" xfId="67"/>
    <cellStyle name="콤마[.]" xfId="68"/>
    <cellStyle name="콤마[0]" xfId="69"/>
    <cellStyle name="콤마_동부" xfId="70"/>
    <cellStyle name="Currency" xfId="71"/>
    <cellStyle name="Currency [0]" xfId="72"/>
    <cellStyle name="표준 2" xfId="73"/>
    <cellStyle name="표준 2 2" xfId="74"/>
    <cellStyle name="표준 2 2 2" xfId="75"/>
    <cellStyle name="표준_노측방호책일위(아스콘)-950기초지주450" xfId="76"/>
    <cellStyle name="표준_노측방호책일위(아스콘)-950기초지주450 2" xfId="77"/>
    <cellStyle name="표준_설계서-2" xfId="78"/>
    <cellStyle name="표준_우리꽃길조성사업" xfId="79"/>
    <cellStyle name="Hyperlink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3" sqref="K13"/>
    </sheetView>
  </sheetViews>
  <sheetFormatPr defaultColWidth="8.88671875" defaultRowHeight="24.75" customHeight="1"/>
  <cols>
    <col min="1" max="1" width="8.99609375" style="30" customWidth="1"/>
    <col min="2" max="2" width="3.77734375" style="29" customWidth="1"/>
    <col min="3" max="3" width="0.9921875" style="30" customWidth="1"/>
    <col min="4" max="4" width="8.21484375" style="29" customWidth="1"/>
    <col min="5" max="5" width="4.99609375" style="30" customWidth="1"/>
    <col min="6" max="6" width="3.21484375" style="29" customWidth="1"/>
    <col min="7" max="7" width="9.5546875" style="29" customWidth="1"/>
    <col min="8" max="8" width="3.21484375" style="29" customWidth="1"/>
    <col min="9" max="9" width="6.4453125" style="29" customWidth="1"/>
    <col min="10" max="10" width="15.5546875" style="29" customWidth="1"/>
    <col min="11" max="11" width="16.88671875" style="29" customWidth="1"/>
    <col min="12" max="12" width="14.77734375" style="29" customWidth="1"/>
    <col min="13" max="13" width="8.88671875" style="29" customWidth="1"/>
    <col min="14" max="16384" width="8.88671875" style="30" customWidth="1"/>
  </cols>
  <sheetData>
    <row r="1" spans="1:12" ht="24.75" customHeight="1">
      <c r="A1" s="20" t="s">
        <v>0</v>
      </c>
      <c r="B1" s="21"/>
      <c r="C1" s="22"/>
      <c r="D1" s="23" t="s">
        <v>10</v>
      </c>
      <c r="E1" s="24"/>
      <c r="F1" s="25" t="s">
        <v>1</v>
      </c>
      <c r="G1" s="25"/>
      <c r="H1" s="25" t="s">
        <v>2</v>
      </c>
      <c r="I1" s="23"/>
      <c r="J1" s="26" t="s">
        <v>3</v>
      </c>
      <c r="K1" s="27" t="s">
        <v>4</v>
      </c>
      <c r="L1" s="28" t="s">
        <v>11</v>
      </c>
    </row>
    <row r="2" spans="1:12" ht="24.75" customHeight="1">
      <c r="A2" s="170"/>
      <c r="B2" s="171"/>
      <c r="C2" s="172"/>
      <c r="D2" s="173"/>
      <c r="E2" s="174"/>
      <c r="F2" s="173"/>
      <c r="G2" s="174"/>
      <c r="H2" s="173"/>
      <c r="I2" s="174"/>
      <c r="J2" s="31" t="s">
        <v>5</v>
      </c>
      <c r="K2" s="32" t="s">
        <v>4</v>
      </c>
      <c r="L2" s="33" t="s">
        <v>12</v>
      </c>
    </row>
    <row r="3" spans="1:12" ht="47.25" customHeight="1">
      <c r="A3" s="185" t="s">
        <v>13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1:12" ht="13.5" customHeight="1" thickBo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13.5" customHeight="1" thickTop="1">
      <c r="A5" s="34"/>
      <c r="B5" s="35"/>
      <c r="C5" s="35"/>
      <c r="D5" s="35"/>
      <c r="E5" s="35"/>
      <c r="F5" s="35"/>
      <c r="G5" s="36"/>
      <c r="H5" s="36"/>
      <c r="I5" s="36"/>
      <c r="J5" s="36"/>
      <c r="K5" s="35"/>
      <c r="L5" s="37"/>
    </row>
    <row r="6" spans="1:13" ht="24" customHeight="1">
      <c r="A6" s="191" t="str">
        <f>일위대가!A1</f>
        <v>중 앙 분 리 대 용 긴 급 개 구 부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  <c r="M6" s="30"/>
    </row>
    <row r="7" spans="1:12" ht="24.7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1:12" ht="24.75" customHeight="1">
      <c r="A8" s="38"/>
      <c r="L8" s="39"/>
    </row>
    <row r="9" spans="1:12" ht="24.75" customHeight="1">
      <c r="A9" s="38"/>
      <c r="L9" s="39"/>
    </row>
    <row r="10" spans="1:12" ht="24.75" customHeight="1">
      <c r="A10" s="38"/>
      <c r="L10" s="39"/>
    </row>
    <row r="11" spans="1:12" ht="24.75" customHeight="1">
      <c r="A11" s="38"/>
      <c r="L11" s="39"/>
    </row>
    <row r="12" spans="1:12" ht="21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29" t="s">
        <v>8</v>
      </c>
      <c r="K12" s="29" t="s">
        <v>190</v>
      </c>
      <c r="L12" s="179"/>
    </row>
    <row r="13" spans="1:12" ht="21" customHeight="1">
      <c r="A13" s="175"/>
      <c r="B13" s="176"/>
      <c r="C13" s="176"/>
      <c r="D13" s="176"/>
      <c r="E13" s="176"/>
      <c r="F13" s="176"/>
      <c r="G13" s="176"/>
      <c r="H13" s="176"/>
      <c r="I13" s="176"/>
      <c r="J13" s="30" t="s">
        <v>6</v>
      </c>
      <c r="K13" s="29" t="s">
        <v>98</v>
      </c>
      <c r="L13" s="179"/>
    </row>
    <row r="14" spans="1:12" ht="21" customHeight="1">
      <c r="A14" s="175"/>
      <c r="B14" s="176"/>
      <c r="C14" s="176"/>
      <c r="D14" s="176"/>
      <c r="E14" s="176"/>
      <c r="F14" s="176"/>
      <c r="G14" s="176"/>
      <c r="H14" s="176"/>
      <c r="I14" s="176"/>
      <c r="J14" s="29" t="s">
        <v>7</v>
      </c>
      <c r="K14" s="29" t="s">
        <v>109</v>
      </c>
      <c r="L14" s="179"/>
    </row>
    <row r="15" spans="1:12" ht="21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29" t="s">
        <v>9</v>
      </c>
      <c r="K15" s="29" t="s">
        <v>90</v>
      </c>
      <c r="L15" s="179"/>
    </row>
    <row r="16" spans="1:12" ht="21" customHeight="1">
      <c r="A16" s="175"/>
      <c r="B16" s="176"/>
      <c r="C16" s="176"/>
      <c r="D16" s="176"/>
      <c r="E16" s="176"/>
      <c r="F16" s="176"/>
      <c r="G16" s="176"/>
      <c r="H16" s="176"/>
      <c r="I16" s="176"/>
      <c r="L16" s="179"/>
    </row>
    <row r="17" spans="1:12" ht="23.25" customHeight="1">
      <c r="A17" s="177"/>
      <c r="B17" s="178"/>
      <c r="C17" s="178"/>
      <c r="D17" s="178"/>
      <c r="E17" s="178"/>
      <c r="F17" s="178"/>
      <c r="G17" s="178"/>
      <c r="H17" s="178"/>
      <c r="I17" s="178"/>
      <c r="J17" s="181"/>
      <c r="K17" s="181"/>
      <c r="L17" s="180"/>
    </row>
  </sheetData>
  <sheetProtection/>
  <mergeCells count="10">
    <mergeCell ref="A2:C2"/>
    <mergeCell ref="D2:E2"/>
    <mergeCell ref="F2:G2"/>
    <mergeCell ref="H2:I2"/>
    <mergeCell ref="A12:I17"/>
    <mergeCell ref="L12:L17"/>
    <mergeCell ref="J17:K17"/>
    <mergeCell ref="A7:L7"/>
    <mergeCell ref="A3:L4"/>
    <mergeCell ref="A6:L6"/>
  </mergeCells>
  <printOptions/>
  <pageMargins left="0.88" right="0.59" top="1.24" bottom="0.35433070866141736" header="0.91" footer="0.2362204724409449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115" zoomScaleSheetLayoutView="115" zoomScalePageLayoutView="0" workbookViewId="0" topLeftCell="A13">
      <selection activeCell="C22" sqref="C22:C26"/>
    </sheetView>
  </sheetViews>
  <sheetFormatPr defaultColWidth="7.10546875" defaultRowHeight="15" customHeight="1"/>
  <cols>
    <col min="1" max="1" width="16.5546875" style="3" customWidth="1"/>
    <col min="2" max="2" width="13.5546875" style="4" customWidth="1"/>
    <col min="3" max="3" width="8.10546875" style="3" customWidth="1"/>
    <col min="4" max="4" width="4.77734375" style="5" customWidth="1"/>
    <col min="5" max="11" width="9.77734375" style="1" customWidth="1"/>
    <col min="12" max="12" width="11.4453125" style="1" bestFit="1" customWidth="1"/>
    <col min="13" max="13" width="30.77734375" style="1" customWidth="1"/>
    <col min="14" max="14" width="7.5546875" style="1" customWidth="1"/>
    <col min="15" max="15" width="8.21484375" style="3" customWidth="1"/>
    <col min="16" max="18" width="9.21484375" style="3" bestFit="1" customWidth="1"/>
    <col min="19" max="16384" width="7.10546875" style="3" customWidth="1"/>
  </cols>
  <sheetData>
    <row r="1" spans="1:14" s="2" customFormat="1" ht="30" customHeight="1">
      <c r="A1" s="202" t="s">
        <v>143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  <c r="N1" s="55"/>
    </row>
    <row r="2" spans="1:14" ht="24.75" customHeight="1">
      <c r="A2" s="205" t="s">
        <v>14</v>
      </c>
      <c r="B2" s="207" t="s">
        <v>15</v>
      </c>
      <c r="C2" s="207" t="s">
        <v>16</v>
      </c>
      <c r="D2" s="207" t="s">
        <v>17</v>
      </c>
      <c r="E2" s="194" t="s">
        <v>18</v>
      </c>
      <c r="F2" s="194"/>
      <c r="G2" s="194" t="s">
        <v>19</v>
      </c>
      <c r="H2" s="194"/>
      <c r="I2" s="194" t="s">
        <v>20</v>
      </c>
      <c r="J2" s="194"/>
      <c r="K2" s="194" t="s">
        <v>21</v>
      </c>
      <c r="L2" s="194"/>
      <c r="M2" s="195" t="s">
        <v>22</v>
      </c>
      <c r="N2" s="19"/>
    </row>
    <row r="3" spans="1:18" ht="24.75" customHeight="1">
      <c r="A3" s="206"/>
      <c r="B3" s="208"/>
      <c r="C3" s="208"/>
      <c r="D3" s="208"/>
      <c r="E3" s="9" t="s">
        <v>23</v>
      </c>
      <c r="F3" s="9" t="s">
        <v>24</v>
      </c>
      <c r="G3" s="9" t="s">
        <v>23</v>
      </c>
      <c r="H3" s="9" t="s">
        <v>24</v>
      </c>
      <c r="I3" s="9" t="s">
        <v>23</v>
      </c>
      <c r="J3" s="9" t="s">
        <v>24</v>
      </c>
      <c r="K3" s="9" t="s">
        <v>23</v>
      </c>
      <c r="L3" s="9" t="s">
        <v>24</v>
      </c>
      <c r="M3" s="196"/>
      <c r="N3" s="19"/>
      <c r="Q3" s="132"/>
      <c r="R3" s="134"/>
    </row>
    <row r="4" spans="1:18" s="6" customFormat="1" ht="24.75" customHeight="1">
      <c r="A4" s="199" t="s">
        <v>144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1"/>
      <c r="N4" s="56"/>
      <c r="P4" s="57"/>
      <c r="Q4" s="57"/>
      <c r="R4" s="133"/>
    </row>
    <row r="5" spans="1:18" s="6" customFormat="1" ht="24.75" customHeight="1">
      <c r="A5" s="77" t="s">
        <v>112</v>
      </c>
      <c r="B5" s="122" t="s">
        <v>113</v>
      </c>
      <c r="C5" s="44">
        <v>17</v>
      </c>
      <c r="D5" s="46" t="s">
        <v>42</v>
      </c>
      <c r="E5" s="47">
        <v>81800</v>
      </c>
      <c r="F5" s="47">
        <f>(E5*C5)</f>
        <v>1390600</v>
      </c>
      <c r="G5" s="47"/>
      <c r="H5" s="47"/>
      <c r="I5" s="47"/>
      <c r="J5" s="47"/>
      <c r="K5" s="47">
        <f>SUM(E5,G5,I5)</f>
        <v>81800</v>
      </c>
      <c r="L5" s="47">
        <f>SUM(F5,H5,J5)</f>
        <v>1390600</v>
      </c>
      <c r="M5" s="126"/>
      <c r="N5" s="57"/>
      <c r="P5" s="57"/>
      <c r="Q5" s="57"/>
      <c r="R5" s="133"/>
    </row>
    <row r="6" spans="1:18" s="6" customFormat="1" ht="24.75" customHeight="1">
      <c r="A6" s="77" t="s">
        <v>114</v>
      </c>
      <c r="B6" s="122" t="s">
        <v>115</v>
      </c>
      <c r="C6" s="44">
        <v>17</v>
      </c>
      <c r="D6" s="46" t="s">
        <v>42</v>
      </c>
      <c r="E6" s="47">
        <v>40200</v>
      </c>
      <c r="F6" s="47">
        <f aca="true" t="shared" si="0" ref="F6:F17">(E6*C6)</f>
        <v>683400</v>
      </c>
      <c r="G6" s="47"/>
      <c r="H6" s="47"/>
      <c r="I6" s="47"/>
      <c r="J6" s="47"/>
      <c r="K6" s="47">
        <f aca="true" t="shared" si="1" ref="K6:K17">SUM(E6,G6,I6)</f>
        <v>40200</v>
      </c>
      <c r="L6" s="47">
        <f aca="true" t="shared" si="2" ref="L6:L17">SUM(F6,H6,J6)</f>
        <v>683400</v>
      </c>
      <c r="M6" s="123"/>
      <c r="N6" s="57"/>
      <c r="P6" s="57"/>
      <c r="Q6" s="57"/>
      <c r="R6" s="133"/>
    </row>
    <row r="7" spans="1:18" s="6" customFormat="1" ht="24.75" customHeight="1">
      <c r="A7" s="77" t="s">
        <v>116</v>
      </c>
      <c r="B7" s="122" t="s">
        <v>117</v>
      </c>
      <c r="C7" s="44">
        <v>16</v>
      </c>
      <c r="D7" s="46" t="s">
        <v>137</v>
      </c>
      <c r="E7" s="47">
        <v>157700</v>
      </c>
      <c r="F7" s="47">
        <f t="shared" si="0"/>
        <v>2523200</v>
      </c>
      <c r="G7" s="47"/>
      <c r="H7" s="47"/>
      <c r="I7" s="47"/>
      <c r="J7" s="47"/>
      <c r="K7" s="47">
        <f t="shared" si="1"/>
        <v>157700</v>
      </c>
      <c r="L7" s="47">
        <f t="shared" si="2"/>
        <v>2523200</v>
      </c>
      <c r="M7" s="131" t="s">
        <v>146</v>
      </c>
      <c r="N7" s="57"/>
      <c r="P7" s="57"/>
      <c r="Q7" s="57"/>
      <c r="R7" s="133"/>
    </row>
    <row r="8" spans="1:18" s="6" customFormat="1" ht="24.75" customHeight="1">
      <c r="A8" s="77" t="s">
        <v>118</v>
      </c>
      <c r="B8" s="122" t="s">
        <v>119</v>
      </c>
      <c r="C8" s="44">
        <v>8</v>
      </c>
      <c r="D8" s="46" t="s">
        <v>138</v>
      </c>
      <c r="E8" s="47">
        <v>53100</v>
      </c>
      <c r="F8" s="47">
        <f t="shared" si="0"/>
        <v>424800</v>
      </c>
      <c r="G8" s="47"/>
      <c r="H8" s="47"/>
      <c r="I8" s="47"/>
      <c r="J8" s="47"/>
      <c r="K8" s="47">
        <f t="shared" si="1"/>
        <v>53100</v>
      </c>
      <c r="L8" s="47">
        <f t="shared" si="2"/>
        <v>424800</v>
      </c>
      <c r="M8" s="131" t="s">
        <v>146</v>
      </c>
      <c r="N8" s="57"/>
      <c r="P8" s="57"/>
      <c r="Q8" s="57"/>
      <c r="R8" s="133"/>
    </row>
    <row r="9" spans="1:18" s="6" customFormat="1" ht="24.75" customHeight="1">
      <c r="A9" s="77" t="s">
        <v>120</v>
      </c>
      <c r="B9" s="122" t="s">
        <v>121</v>
      </c>
      <c r="C9" s="44">
        <v>8</v>
      </c>
      <c r="D9" s="46" t="s">
        <v>139</v>
      </c>
      <c r="E9" s="47">
        <v>136700</v>
      </c>
      <c r="F9" s="47">
        <f t="shared" si="0"/>
        <v>1093600</v>
      </c>
      <c r="G9" s="47"/>
      <c r="H9" s="47"/>
      <c r="I9" s="47"/>
      <c r="J9" s="47"/>
      <c r="K9" s="47">
        <f t="shared" si="1"/>
        <v>136700</v>
      </c>
      <c r="L9" s="47">
        <f t="shared" si="2"/>
        <v>1093600</v>
      </c>
      <c r="M9" s="131" t="s">
        <v>146</v>
      </c>
      <c r="N9" s="57"/>
      <c r="P9" s="57"/>
      <c r="Q9" s="57"/>
      <c r="R9" s="133"/>
    </row>
    <row r="10" spans="1:18" s="6" customFormat="1" ht="24.75" customHeight="1">
      <c r="A10" s="77" t="s">
        <v>122</v>
      </c>
      <c r="B10" s="122" t="s">
        <v>123</v>
      </c>
      <c r="C10" s="44">
        <v>2</v>
      </c>
      <c r="D10" s="46" t="s">
        <v>140</v>
      </c>
      <c r="E10" s="47">
        <v>68600</v>
      </c>
      <c r="F10" s="47">
        <f t="shared" si="0"/>
        <v>137200</v>
      </c>
      <c r="G10" s="47"/>
      <c r="H10" s="47"/>
      <c r="I10" s="47"/>
      <c r="J10" s="47"/>
      <c r="K10" s="47">
        <f t="shared" si="1"/>
        <v>68600</v>
      </c>
      <c r="L10" s="47">
        <f t="shared" si="2"/>
        <v>137200</v>
      </c>
      <c r="M10" s="131" t="s">
        <v>146</v>
      </c>
      <c r="N10" s="57"/>
      <c r="P10" s="57"/>
      <c r="Q10" s="57"/>
      <c r="R10" s="133"/>
    </row>
    <row r="11" spans="1:18" s="6" customFormat="1" ht="24.75" customHeight="1">
      <c r="A11" s="77" t="s">
        <v>124</v>
      </c>
      <c r="B11" s="122" t="s">
        <v>125</v>
      </c>
      <c r="C11" s="44">
        <v>34</v>
      </c>
      <c r="D11" s="46" t="s">
        <v>141</v>
      </c>
      <c r="E11" s="47">
        <v>13000</v>
      </c>
      <c r="F11" s="47">
        <f t="shared" si="0"/>
        <v>442000</v>
      </c>
      <c r="G11" s="47"/>
      <c r="H11" s="47"/>
      <c r="I11" s="47"/>
      <c r="J11" s="47"/>
      <c r="K11" s="47">
        <f t="shared" si="1"/>
        <v>13000</v>
      </c>
      <c r="L11" s="47">
        <f t="shared" si="2"/>
        <v>442000</v>
      </c>
      <c r="M11" s="127"/>
      <c r="N11" s="57"/>
      <c r="P11" s="57"/>
      <c r="Q11" s="57"/>
      <c r="R11" s="133"/>
    </row>
    <row r="12" spans="1:18" s="6" customFormat="1" ht="24.75" customHeight="1">
      <c r="A12" s="77" t="s">
        <v>126</v>
      </c>
      <c r="B12" s="122" t="s">
        <v>127</v>
      </c>
      <c r="C12" s="44">
        <v>17</v>
      </c>
      <c r="D12" s="46" t="s">
        <v>30</v>
      </c>
      <c r="E12" s="47">
        <v>2400</v>
      </c>
      <c r="F12" s="47">
        <f t="shared" si="0"/>
        <v>40800</v>
      </c>
      <c r="G12" s="47"/>
      <c r="H12" s="47"/>
      <c r="I12" s="47"/>
      <c r="J12" s="47"/>
      <c r="K12" s="47">
        <f t="shared" si="1"/>
        <v>2400</v>
      </c>
      <c r="L12" s="47">
        <f t="shared" si="2"/>
        <v>40800</v>
      </c>
      <c r="M12" s="127"/>
      <c r="N12" s="57"/>
      <c r="P12" s="57"/>
      <c r="Q12" s="57"/>
      <c r="R12" s="133"/>
    </row>
    <row r="13" spans="1:18" s="6" customFormat="1" ht="24.75" customHeight="1">
      <c r="A13" s="77" t="s">
        <v>128</v>
      </c>
      <c r="B13" s="122" t="s">
        <v>127</v>
      </c>
      <c r="C13" s="44">
        <v>17</v>
      </c>
      <c r="D13" s="46" t="s">
        <v>142</v>
      </c>
      <c r="E13" s="47">
        <v>32400</v>
      </c>
      <c r="F13" s="47">
        <f t="shared" si="0"/>
        <v>550800</v>
      </c>
      <c r="G13" s="47"/>
      <c r="H13" s="47"/>
      <c r="I13" s="47"/>
      <c r="J13" s="47"/>
      <c r="K13" s="47">
        <f t="shared" si="1"/>
        <v>32400</v>
      </c>
      <c r="L13" s="47">
        <f t="shared" si="2"/>
        <v>550800</v>
      </c>
      <c r="M13" s="124"/>
      <c r="N13" s="57"/>
      <c r="P13" s="57"/>
      <c r="Q13" s="57"/>
      <c r="R13" s="133"/>
    </row>
    <row r="14" spans="1:18" s="6" customFormat="1" ht="24.75" customHeight="1">
      <c r="A14" s="77" t="s">
        <v>129</v>
      </c>
      <c r="B14" s="122" t="s">
        <v>130</v>
      </c>
      <c r="C14" s="44">
        <v>51</v>
      </c>
      <c r="D14" s="46" t="s">
        <v>43</v>
      </c>
      <c r="E14" s="47">
        <v>3100</v>
      </c>
      <c r="F14" s="47">
        <f t="shared" si="0"/>
        <v>158100</v>
      </c>
      <c r="G14" s="47"/>
      <c r="H14" s="47"/>
      <c r="I14" s="47"/>
      <c r="J14" s="47"/>
      <c r="K14" s="47">
        <f t="shared" si="1"/>
        <v>3100</v>
      </c>
      <c r="L14" s="47">
        <f t="shared" si="2"/>
        <v>158100</v>
      </c>
      <c r="M14" s="124"/>
      <c r="N14" s="57"/>
      <c r="P14" s="57"/>
      <c r="Q14" s="57"/>
      <c r="R14" s="133"/>
    </row>
    <row r="15" spans="1:18" s="6" customFormat="1" ht="24.75" customHeight="1">
      <c r="A15" s="77" t="s">
        <v>131</v>
      </c>
      <c r="B15" s="125" t="s">
        <v>132</v>
      </c>
      <c r="C15" s="44">
        <v>188</v>
      </c>
      <c r="D15" s="46" t="s">
        <v>43</v>
      </c>
      <c r="E15" s="47">
        <v>700</v>
      </c>
      <c r="F15" s="47">
        <f t="shared" si="0"/>
        <v>131600</v>
      </c>
      <c r="G15" s="47"/>
      <c r="H15" s="47"/>
      <c r="I15" s="47"/>
      <c r="J15" s="47"/>
      <c r="K15" s="47">
        <f t="shared" si="1"/>
        <v>700</v>
      </c>
      <c r="L15" s="47">
        <f t="shared" si="2"/>
        <v>131600</v>
      </c>
      <c r="M15" s="123"/>
      <c r="N15" s="57"/>
      <c r="P15" s="57"/>
      <c r="Q15" s="57"/>
      <c r="R15" s="133"/>
    </row>
    <row r="16" spans="1:18" s="6" customFormat="1" ht="24.75" customHeight="1">
      <c r="A16" s="77" t="s">
        <v>133</v>
      </c>
      <c r="B16" s="125" t="s">
        <v>134</v>
      </c>
      <c r="C16" s="44">
        <v>8</v>
      </c>
      <c r="D16" s="46" t="s">
        <v>43</v>
      </c>
      <c r="E16" s="47">
        <v>800</v>
      </c>
      <c r="F16" s="47">
        <f t="shared" si="0"/>
        <v>6400</v>
      </c>
      <c r="G16" s="47"/>
      <c r="H16" s="47"/>
      <c r="I16" s="47"/>
      <c r="J16" s="47"/>
      <c r="K16" s="47">
        <f t="shared" si="1"/>
        <v>800</v>
      </c>
      <c r="L16" s="47">
        <f t="shared" si="2"/>
        <v>6400</v>
      </c>
      <c r="M16" s="123"/>
      <c r="N16" s="62"/>
      <c r="O16" s="54"/>
      <c r="P16" s="57"/>
      <c r="Q16" s="57"/>
      <c r="R16" s="133"/>
    </row>
    <row r="17" spans="1:18" s="6" customFormat="1" ht="24.75" customHeight="1">
      <c r="A17" s="77" t="s">
        <v>135</v>
      </c>
      <c r="B17" s="125" t="s">
        <v>136</v>
      </c>
      <c r="C17" s="44">
        <v>40</v>
      </c>
      <c r="D17" s="46" t="s">
        <v>43</v>
      </c>
      <c r="E17" s="47">
        <v>2800</v>
      </c>
      <c r="F17" s="47">
        <f t="shared" si="0"/>
        <v>112000</v>
      </c>
      <c r="G17" s="47"/>
      <c r="H17" s="47"/>
      <c r="I17" s="47"/>
      <c r="J17" s="47"/>
      <c r="K17" s="47">
        <f t="shared" si="1"/>
        <v>2800</v>
      </c>
      <c r="L17" s="47">
        <f t="shared" si="2"/>
        <v>112000</v>
      </c>
      <c r="M17" s="123"/>
      <c r="N17" s="62"/>
      <c r="O17" s="54"/>
      <c r="P17" s="57"/>
      <c r="Q17" s="57"/>
      <c r="R17" s="133"/>
    </row>
    <row r="18" spans="1:19" s="6" customFormat="1" ht="24.75" customHeight="1">
      <c r="A18" s="79" t="s">
        <v>45</v>
      </c>
      <c r="B18" s="49"/>
      <c r="C18" s="44"/>
      <c r="D18" s="46"/>
      <c r="E18" s="47"/>
      <c r="F18" s="50">
        <f>SUM(F5:F17)</f>
        <v>7694500</v>
      </c>
      <c r="G18" s="47"/>
      <c r="H18" s="50">
        <f>SUM(H5:H16)</f>
        <v>0</v>
      </c>
      <c r="I18" s="47"/>
      <c r="J18" s="50">
        <f>SUM(J5:J16)</f>
        <v>0</v>
      </c>
      <c r="K18" s="47"/>
      <c r="L18" s="50">
        <f>SUM(F18,H18,J18)</f>
        <v>7694500</v>
      </c>
      <c r="M18" s="97" t="str">
        <f>O18&amp;". 0"&amp;P18&amp;" "&amp;Q18&amp;" P."&amp;R18</f>
        <v>2022. 01 거래가격 P.266</v>
      </c>
      <c r="N18" s="167"/>
      <c r="O18" s="168">
        <f>base!D3</f>
        <v>2022</v>
      </c>
      <c r="P18" s="168">
        <v>1</v>
      </c>
      <c r="Q18" s="168" t="s">
        <v>182</v>
      </c>
      <c r="R18" s="168">
        <f>base!E3</f>
        <v>266</v>
      </c>
      <c r="S18" s="105"/>
    </row>
    <row r="19" spans="1:16" s="6" customFormat="1" ht="24.75" customHeight="1">
      <c r="A19" s="77" t="s">
        <v>34</v>
      </c>
      <c r="B19" s="122" t="s">
        <v>35</v>
      </c>
      <c r="C19" s="137">
        <v>2.469</v>
      </c>
      <c r="D19" s="46" t="s">
        <v>36</v>
      </c>
      <c r="E19" s="128"/>
      <c r="F19" s="47"/>
      <c r="G19" s="47">
        <f>기본대가!H32</f>
        <v>187435</v>
      </c>
      <c r="H19" s="47">
        <f>INT(G19*C19)</f>
        <v>462777</v>
      </c>
      <c r="I19" s="47"/>
      <c r="J19" s="47"/>
      <c r="K19" s="47">
        <f aca="true" t="shared" si="3" ref="K19:L29">SUM(E19,G19,I19)</f>
        <v>187435</v>
      </c>
      <c r="L19" s="47">
        <f t="shared" si="3"/>
        <v>462777</v>
      </c>
      <c r="M19" s="97" t="str">
        <f>base!A3&amp;"년 건설공사표준품셈(대한건설협회) P."&amp;base!B3</f>
        <v>2022년 건설공사표준품셈(대한건설협회) P.795</v>
      </c>
      <c r="N19" s="3"/>
      <c r="O19" s="5"/>
      <c r="P19" s="5"/>
    </row>
    <row r="20" spans="1:13" s="6" customFormat="1" ht="24.75" customHeight="1">
      <c r="A20" s="129" t="s">
        <v>37</v>
      </c>
      <c r="B20" s="122" t="s">
        <v>38</v>
      </c>
      <c r="C20" s="137">
        <v>2.491</v>
      </c>
      <c r="D20" s="46" t="s">
        <v>36</v>
      </c>
      <c r="E20" s="130"/>
      <c r="F20" s="47"/>
      <c r="G20" s="47">
        <f>기본대가!H33</f>
        <v>148510</v>
      </c>
      <c r="H20" s="47">
        <f>INT(G20*C20)</f>
        <v>369938</v>
      </c>
      <c r="I20" s="47"/>
      <c r="J20" s="47"/>
      <c r="K20" s="47">
        <f t="shared" si="3"/>
        <v>148510</v>
      </c>
      <c r="L20" s="47">
        <f t="shared" si="3"/>
        <v>369938</v>
      </c>
      <c r="M20" s="97" t="str">
        <f aca="true" t="shared" si="4" ref="M20:M26">M19</f>
        <v>2022년 건설공사표준품셈(대한건설협회) P.795</v>
      </c>
    </row>
    <row r="21" spans="1:13" s="6" customFormat="1" ht="24.75" customHeight="1">
      <c r="A21" s="129" t="s">
        <v>37</v>
      </c>
      <c r="B21" s="122" t="s">
        <v>153</v>
      </c>
      <c r="C21" s="137">
        <v>3.264</v>
      </c>
      <c r="D21" s="46" t="s">
        <v>155</v>
      </c>
      <c r="E21" s="130"/>
      <c r="F21" s="47"/>
      <c r="G21" s="47">
        <f>기본대가!H34</f>
        <v>214374</v>
      </c>
      <c r="H21" s="47">
        <f>INT(G21*C21)</f>
        <v>699716</v>
      </c>
      <c r="I21" s="47"/>
      <c r="J21" s="47"/>
      <c r="K21" s="47">
        <f>SUM(E21,G21,I21)</f>
        <v>214374</v>
      </c>
      <c r="L21" s="47">
        <f>SUM(F21,H21,J21)</f>
        <v>699716</v>
      </c>
      <c r="M21" s="97" t="str">
        <f t="shared" si="4"/>
        <v>2022년 건설공사표준품셈(대한건설협회) P.795</v>
      </c>
    </row>
    <row r="22" spans="1:13" s="6" customFormat="1" ht="24.75" customHeight="1">
      <c r="A22" s="129" t="s">
        <v>26</v>
      </c>
      <c r="B22" s="122" t="s">
        <v>28</v>
      </c>
      <c r="C22" s="137">
        <v>1.236</v>
      </c>
      <c r="D22" s="46" t="s">
        <v>27</v>
      </c>
      <c r="E22" s="47"/>
      <c r="F22" s="47"/>
      <c r="G22" s="47"/>
      <c r="H22" s="47"/>
      <c r="I22" s="47">
        <f>기본대가!J5</f>
        <v>414</v>
      </c>
      <c r="J22" s="47">
        <f>INT(I22*C22)</f>
        <v>511</v>
      </c>
      <c r="K22" s="47">
        <f t="shared" si="3"/>
        <v>414</v>
      </c>
      <c r="L22" s="47">
        <f t="shared" si="3"/>
        <v>511</v>
      </c>
      <c r="M22" s="97" t="str">
        <f t="shared" si="4"/>
        <v>2022년 건설공사표준품셈(대한건설협회) P.795</v>
      </c>
    </row>
    <row r="23" spans="1:18" s="6" customFormat="1" ht="24.75" customHeight="1">
      <c r="A23" s="77" t="s">
        <v>29</v>
      </c>
      <c r="B23" s="122" t="s">
        <v>154</v>
      </c>
      <c r="C23" s="137">
        <v>3.091</v>
      </c>
      <c r="D23" s="46" t="s">
        <v>30</v>
      </c>
      <c r="E23" s="47">
        <f>base!G24</f>
        <v>267000</v>
      </c>
      <c r="F23" s="47">
        <f>INT(E23*C23)</f>
        <v>825297</v>
      </c>
      <c r="G23" s="47"/>
      <c r="H23" s="47"/>
      <c r="I23" s="47"/>
      <c r="J23" s="47"/>
      <c r="K23" s="47">
        <f t="shared" si="3"/>
        <v>267000</v>
      </c>
      <c r="L23" s="47">
        <f t="shared" si="3"/>
        <v>825297</v>
      </c>
      <c r="M23" s="97" t="str">
        <f t="shared" si="4"/>
        <v>2022년 건설공사표준품셈(대한건설협회) P.795</v>
      </c>
      <c r="N23" s="106"/>
      <c r="O23" s="5"/>
      <c r="P23" s="5"/>
      <c r="Q23" s="5"/>
      <c r="R23" s="5"/>
    </row>
    <row r="24" spans="1:14" s="6" customFormat="1" ht="24.75" customHeight="1">
      <c r="A24" s="129" t="s">
        <v>31</v>
      </c>
      <c r="B24" s="45" t="s">
        <v>47</v>
      </c>
      <c r="C24" s="137">
        <v>1.273</v>
      </c>
      <c r="D24" s="46" t="s">
        <v>32</v>
      </c>
      <c r="E24" s="47">
        <f>기본대가!F11</f>
        <v>7726</v>
      </c>
      <c r="F24" s="47">
        <f>INT(E24*C24)</f>
        <v>9835</v>
      </c>
      <c r="G24" s="47">
        <f>기본대가!H11</f>
        <v>29239</v>
      </c>
      <c r="H24" s="47">
        <f>INT(G24*C24)</f>
        <v>37221</v>
      </c>
      <c r="I24" s="47">
        <f>기본대가!J11</f>
        <v>3090</v>
      </c>
      <c r="J24" s="47">
        <f>INT(I24*C24)</f>
        <v>3933</v>
      </c>
      <c r="K24" s="47">
        <f t="shared" si="3"/>
        <v>40055</v>
      </c>
      <c r="L24" s="47">
        <f t="shared" si="3"/>
        <v>50989</v>
      </c>
      <c r="M24" s="97" t="str">
        <f t="shared" si="4"/>
        <v>2022년 건설공사표준품셈(대한건설협회) P.795</v>
      </c>
      <c r="N24" s="58"/>
    </row>
    <row r="25" spans="1:14" s="6" customFormat="1" ht="24.75" customHeight="1">
      <c r="A25" s="10" t="s">
        <v>33</v>
      </c>
      <c r="B25" s="11" t="s">
        <v>147</v>
      </c>
      <c r="C25" s="169">
        <v>2.473</v>
      </c>
      <c r="D25" s="13" t="s">
        <v>27</v>
      </c>
      <c r="E25" s="14">
        <f>기본대가!F24</f>
        <v>20843</v>
      </c>
      <c r="F25" s="8">
        <f>INT(E25*C25)</f>
        <v>51544</v>
      </c>
      <c r="G25" s="8">
        <f>기본대가!H24</f>
        <v>47849</v>
      </c>
      <c r="H25" s="8">
        <f>INT(G25*C25)</f>
        <v>118330</v>
      </c>
      <c r="I25" s="8">
        <f>기본대가!J24</f>
        <v>33324</v>
      </c>
      <c r="J25" s="8">
        <f>INT(I25*C25)</f>
        <v>82410</v>
      </c>
      <c r="K25" s="8">
        <f>SUM(E25,G25,I25)</f>
        <v>102016</v>
      </c>
      <c r="L25" s="8">
        <f>SUM(F25,H25,J25)</f>
        <v>252284</v>
      </c>
      <c r="M25" s="97" t="str">
        <f t="shared" si="4"/>
        <v>2022년 건설공사표준품셈(대한건설협회) P.795</v>
      </c>
      <c r="N25" s="58"/>
    </row>
    <row r="26" spans="1:14" s="6" customFormat="1" ht="24.75" customHeight="1">
      <c r="A26" s="16" t="s">
        <v>80</v>
      </c>
      <c r="B26" s="18" t="s">
        <v>81</v>
      </c>
      <c r="C26" s="169">
        <v>3.745</v>
      </c>
      <c r="D26" s="13" t="s">
        <v>27</v>
      </c>
      <c r="E26" s="8">
        <f>기본대가!F17</f>
        <v>5798</v>
      </c>
      <c r="F26" s="8">
        <f>INT(E26*C26)</f>
        <v>21713</v>
      </c>
      <c r="G26" s="8">
        <f>기본대가!H17</f>
        <v>39645</v>
      </c>
      <c r="H26" s="8">
        <f>INT(G26*C26)</f>
        <v>148470</v>
      </c>
      <c r="I26" s="8">
        <f>기본대가!J17</f>
        <v>5965</v>
      </c>
      <c r="J26" s="8">
        <f>INT(I26*C26)</f>
        <v>22338</v>
      </c>
      <c r="K26" s="8">
        <f t="shared" si="3"/>
        <v>51408</v>
      </c>
      <c r="L26" s="8">
        <f t="shared" si="3"/>
        <v>192521</v>
      </c>
      <c r="M26" s="97" t="str">
        <f t="shared" si="4"/>
        <v>2022년 건설공사표준품셈(대한건설협회) P.795</v>
      </c>
      <c r="N26" s="58"/>
    </row>
    <row r="27" spans="1:14" s="6" customFormat="1" ht="24.75" customHeight="1">
      <c r="A27" s="10" t="s">
        <v>39</v>
      </c>
      <c r="B27" s="11" t="s">
        <v>44</v>
      </c>
      <c r="C27" s="72">
        <v>1</v>
      </c>
      <c r="D27" s="13" t="s">
        <v>40</v>
      </c>
      <c r="E27" s="8">
        <f>INT(SUM(H19:H20)*3%)</f>
        <v>24981</v>
      </c>
      <c r="F27" s="8">
        <f>INT(E27*C27)</f>
        <v>24981</v>
      </c>
      <c r="G27" s="8"/>
      <c r="H27" s="8"/>
      <c r="I27" s="8"/>
      <c r="J27" s="8"/>
      <c r="K27" s="8">
        <f t="shared" si="3"/>
        <v>24981</v>
      </c>
      <c r="L27" s="8">
        <f t="shared" si="3"/>
        <v>24981</v>
      </c>
      <c r="M27" s="97"/>
      <c r="N27" s="59"/>
    </row>
    <row r="28" spans="1:14" s="6" customFormat="1" ht="24.75" customHeight="1">
      <c r="A28" s="52" t="s">
        <v>46</v>
      </c>
      <c r="B28" s="17"/>
      <c r="C28" s="12"/>
      <c r="D28" s="13"/>
      <c r="E28" s="8"/>
      <c r="F28" s="15">
        <f>SUM(F19:F27)</f>
        <v>933370</v>
      </c>
      <c r="G28" s="8"/>
      <c r="H28" s="15">
        <f>SUM(H19:H27)</f>
        <v>1836452</v>
      </c>
      <c r="I28" s="8"/>
      <c r="J28" s="15">
        <f>SUM(J19:J27)</f>
        <v>109192</v>
      </c>
      <c r="K28" s="8"/>
      <c r="L28" s="15">
        <f t="shared" si="3"/>
        <v>2879014</v>
      </c>
      <c r="M28" s="53"/>
      <c r="N28" s="60"/>
    </row>
    <row r="29" spans="1:14" s="6" customFormat="1" ht="24.75" customHeight="1">
      <c r="A29" s="52" t="s">
        <v>41</v>
      </c>
      <c r="B29" s="17"/>
      <c r="C29" s="12"/>
      <c r="D29" s="13"/>
      <c r="E29" s="8"/>
      <c r="F29" s="15">
        <f>SUM(F18,F28)</f>
        <v>8627870</v>
      </c>
      <c r="G29" s="8"/>
      <c r="H29" s="15">
        <f>SUM(H18,H28)</f>
        <v>1836452</v>
      </c>
      <c r="I29" s="8"/>
      <c r="J29" s="15">
        <f>SUM(J18,J28)</f>
        <v>109192</v>
      </c>
      <c r="K29" s="8"/>
      <c r="L29" s="15">
        <f t="shared" si="3"/>
        <v>10573514</v>
      </c>
      <c r="M29" s="53"/>
      <c r="N29" s="60"/>
    </row>
    <row r="30" spans="1:14" s="7" customFormat="1" ht="24.75" customHeight="1">
      <c r="A30" s="91"/>
      <c r="B30" s="92" t="s">
        <v>25</v>
      </c>
      <c r="C30" s="197">
        <f>L29</f>
        <v>10573514</v>
      </c>
      <c r="D30" s="198"/>
      <c r="E30" s="93" t="s">
        <v>145</v>
      </c>
      <c r="F30" s="94">
        <f>ROUNDUP(L29/17,0)</f>
        <v>621972</v>
      </c>
      <c r="G30" s="93"/>
      <c r="H30" s="93"/>
      <c r="I30" s="93"/>
      <c r="J30" s="93"/>
      <c r="K30" s="93"/>
      <c r="L30" s="93"/>
      <c r="M30" s="95"/>
      <c r="N30" s="61"/>
    </row>
    <row r="31" ht="26.25" customHeight="1"/>
    <row r="32" ht="26.25" customHeight="1"/>
    <row r="33" spans="5:13" ht="26.25" customHeight="1">
      <c r="E33" s="140"/>
      <c r="M33" s="138"/>
    </row>
    <row r="34" spans="4:13" ht="26.25" customHeight="1">
      <c r="D34" s="3"/>
      <c r="M34" s="139"/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</sheetData>
  <sheetProtection/>
  <mergeCells count="12">
    <mergeCell ref="G2:H2"/>
    <mergeCell ref="I2:J2"/>
    <mergeCell ref="K2:L2"/>
    <mergeCell ref="M2:M3"/>
    <mergeCell ref="C30:D30"/>
    <mergeCell ref="A4:M4"/>
    <mergeCell ref="A1:M1"/>
    <mergeCell ref="A2:A3"/>
    <mergeCell ref="B2:B3"/>
    <mergeCell ref="C2:C3"/>
    <mergeCell ref="D2:D3"/>
    <mergeCell ref="E2:F2"/>
  </mergeCells>
  <printOptions gridLines="1" horizontalCentered="1"/>
  <pageMargins left="0.4724409448818898" right="0.2362204724409449" top="1.062992125984252" bottom="0.1968503937007874" header="0.6299212598425197" footer="0.15748031496062992"/>
  <pageSetup horizontalDpi="300" verticalDpi="300" orientation="landscape" paperSize="9" scale="78" r:id="rId1"/>
  <headerFooter alignWithMargins="0">
    <oddHeader>&amp;C&amp;"굴림체,굵게"&amp;16일    위    대    가    표&amp;R&amp;10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80" zoomScaleNormal="80" zoomScaleSheetLayoutView="80" zoomScalePageLayoutView="0" workbookViewId="0" topLeftCell="A4">
      <selection activeCell="M21" sqref="M21"/>
    </sheetView>
  </sheetViews>
  <sheetFormatPr defaultColWidth="7.10546875" defaultRowHeight="17.25" customHeight="1"/>
  <cols>
    <col min="1" max="1" width="14.77734375" style="3" customWidth="1"/>
    <col min="2" max="2" width="12.5546875" style="4" customWidth="1"/>
    <col min="3" max="3" width="6.77734375" style="3" customWidth="1"/>
    <col min="4" max="4" width="4.77734375" style="5" customWidth="1"/>
    <col min="5" max="12" width="9.77734375" style="1" customWidth="1"/>
    <col min="13" max="13" width="33.77734375" style="3" customWidth="1"/>
    <col min="14" max="14" width="7.10546875" style="3" customWidth="1"/>
    <col min="15" max="18" width="7.21484375" style="3" customWidth="1"/>
    <col min="19" max="19" width="7.3359375" style="3" customWidth="1"/>
    <col min="20" max="16384" width="7.10546875" style="3" customWidth="1"/>
  </cols>
  <sheetData>
    <row r="1" spans="1:13" s="6" customFormat="1" ht="24.75" customHeight="1">
      <c r="A1" s="218" t="s">
        <v>48</v>
      </c>
      <c r="B1" s="219" t="s">
        <v>49</v>
      </c>
      <c r="C1" s="219" t="s">
        <v>50</v>
      </c>
      <c r="D1" s="219" t="s">
        <v>51</v>
      </c>
      <c r="E1" s="212" t="s">
        <v>52</v>
      </c>
      <c r="F1" s="212"/>
      <c r="G1" s="212" t="s">
        <v>53</v>
      </c>
      <c r="H1" s="212"/>
      <c r="I1" s="212" t="s">
        <v>54</v>
      </c>
      <c r="J1" s="212"/>
      <c r="K1" s="212" t="s">
        <v>55</v>
      </c>
      <c r="L1" s="212"/>
      <c r="M1" s="213" t="s">
        <v>56</v>
      </c>
    </row>
    <row r="2" spans="1:13" s="6" customFormat="1" ht="24.75" customHeight="1">
      <c r="A2" s="206"/>
      <c r="B2" s="208"/>
      <c r="C2" s="208"/>
      <c r="D2" s="208"/>
      <c r="E2" s="9" t="s">
        <v>57</v>
      </c>
      <c r="F2" s="9" t="s">
        <v>58</v>
      </c>
      <c r="G2" s="9" t="s">
        <v>57</v>
      </c>
      <c r="H2" s="9" t="s">
        <v>58</v>
      </c>
      <c r="I2" s="9" t="s">
        <v>57</v>
      </c>
      <c r="J2" s="9" t="s">
        <v>58</v>
      </c>
      <c r="K2" s="9" t="s">
        <v>57</v>
      </c>
      <c r="L2" s="9" t="s">
        <v>58</v>
      </c>
      <c r="M2" s="214"/>
    </row>
    <row r="3" spans="1:13" ht="24.75" customHeight="1">
      <c r="A3" s="215" t="s">
        <v>59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7"/>
    </row>
    <row r="4" spans="1:19" ht="24.75" customHeight="1">
      <c r="A4" s="10" t="s">
        <v>26</v>
      </c>
      <c r="B4" s="18" t="s">
        <v>60</v>
      </c>
      <c r="C4" s="12">
        <v>1</v>
      </c>
      <c r="D4" s="13" t="s">
        <v>27</v>
      </c>
      <c r="E4" s="8"/>
      <c r="F4" s="8"/>
      <c r="G4" s="8"/>
      <c r="H4" s="8"/>
      <c r="I4" s="8">
        <f>Q4*R4*S4</f>
        <v>414.0648</v>
      </c>
      <c r="J4" s="8">
        <f>INT(I4*C4)</f>
        <v>414</v>
      </c>
      <c r="K4" s="8">
        <f>SUM(E4,G4,I4)</f>
        <v>414.0648</v>
      </c>
      <c r="L4" s="8">
        <f>SUM(F4,H4,J4)</f>
        <v>414</v>
      </c>
      <c r="M4" s="97" t="str">
        <f>O4&amp;"년 건설공사표준품셈(대한건설협회) P."&amp;P4&amp;"
기계값x시간당손료율="&amp;Q4&amp;"x"&amp;R4&amp;"x"&amp;S4</f>
        <v>2022년 건설공사표준품셈(대한건설협회) P.681,727
기계값x시간당손료율=786000x5268x0.0000001</v>
      </c>
      <c r="O4" s="5">
        <f>base!A8</f>
        <v>2022</v>
      </c>
      <c r="P4" s="5" t="str">
        <f>base!B8</f>
        <v>681,727</v>
      </c>
      <c r="Q4" s="5">
        <f>base!G8</f>
        <v>786000</v>
      </c>
      <c r="R4" s="110">
        <f>base!H8</f>
        <v>5268</v>
      </c>
      <c r="S4" s="111">
        <f>base!I8</f>
        <v>1E-07</v>
      </c>
    </row>
    <row r="5" spans="1:19" s="70" customFormat="1" ht="24.75" customHeight="1">
      <c r="A5" s="98" t="s">
        <v>61</v>
      </c>
      <c r="B5" s="99"/>
      <c r="C5" s="100"/>
      <c r="D5" s="101"/>
      <c r="E5" s="68"/>
      <c r="F5" s="69"/>
      <c r="G5" s="68"/>
      <c r="H5" s="69"/>
      <c r="I5" s="68"/>
      <c r="J5" s="15">
        <f>SUM(J4)</f>
        <v>414</v>
      </c>
      <c r="K5" s="68"/>
      <c r="L5" s="50">
        <f>SUM(F5,H5,J5)</f>
        <v>414</v>
      </c>
      <c r="M5" s="76"/>
      <c r="O5" s="102"/>
      <c r="P5" s="102"/>
      <c r="Q5" s="102"/>
      <c r="R5" s="102"/>
      <c r="S5" s="102"/>
    </row>
    <row r="6" spans="1:13" s="6" customFormat="1" ht="24.75" customHeight="1">
      <c r="A6" s="199" t="s">
        <v>62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</row>
    <row r="7" spans="1:19" s="51" customFormat="1" ht="24.75" customHeight="1">
      <c r="A7" s="77" t="s">
        <v>31</v>
      </c>
      <c r="B7" s="45" t="s">
        <v>63</v>
      </c>
      <c r="C7" s="44">
        <v>1</v>
      </c>
      <c r="D7" s="46" t="s">
        <v>27</v>
      </c>
      <c r="E7" s="47"/>
      <c r="F7" s="47"/>
      <c r="G7" s="47"/>
      <c r="H7" s="47"/>
      <c r="I7" s="8">
        <f>Q7*R7*S7</f>
        <v>3090.6769999999997</v>
      </c>
      <c r="J7" s="8">
        <f>INT(I7*C7)</f>
        <v>3090</v>
      </c>
      <c r="K7" s="8">
        <f aca="true" t="shared" si="0" ref="K7:L9">SUM(E7,G7,I7)</f>
        <v>3090.6769999999997</v>
      </c>
      <c r="L7" s="8">
        <f t="shared" si="0"/>
        <v>3090</v>
      </c>
      <c r="M7" s="103" t="str">
        <f>O7&amp;"년 건설공사표준품셈(대한건설협회) P."&amp;P7&amp;"
기계값x시간당손료율="&amp;Q7&amp;"x"&amp;R7&amp;"x"&amp;S7</f>
        <v>2022년 건설공사표준품셈(대한건설협회) P.691,712,730
기계값x시간당손료율=13085000x2362x0.0000001</v>
      </c>
      <c r="N7" s="3"/>
      <c r="O7" s="5">
        <f>base!A7</f>
        <v>2022</v>
      </c>
      <c r="P7" s="5" t="str">
        <f>base!B7</f>
        <v>691,712,730</v>
      </c>
      <c r="Q7" s="5">
        <f>base!G7</f>
        <v>13085000</v>
      </c>
      <c r="R7" s="110">
        <f>base!H7</f>
        <v>2362</v>
      </c>
      <c r="S7" s="111">
        <f>base!I7</f>
        <v>1E-07</v>
      </c>
    </row>
    <row r="8" spans="1:18" s="51" customFormat="1" ht="24.75" customHeight="1">
      <c r="A8" s="10" t="s">
        <v>64</v>
      </c>
      <c r="B8" s="18" t="s">
        <v>100</v>
      </c>
      <c r="C8" s="67">
        <v>4.3</v>
      </c>
      <c r="D8" s="48" t="s">
        <v>65</v>
      </c>
      <c r="E8" s="47">
        <f>base!G27</f>
        <v>1449.090909090909</v>
      </c>
      <c r="F8" s="47">
        <f>INT(E8*C8)</f>
        <v>6231</v>
      </c>
      <c r="G8" s="47"/>
      <c r="H8" s="47"/>
      <c r="I8" s="47"/>
      <c r="J8" s="47"/>
      <c r="K8" s="8">
        <f t="shared" si="0"/>
        <v>1449.090909090909</v>
      </c>
      <c r="L8" s="47">
        <f t="shared" si="0"/>
        <v>6231</v>
      </c>
      <c r="M8" s="104" t="str">
        <f>O8&amp;".0"&amp;P8&amp;" "&amp;Q8&amp;" P."&amp;R8</f>
        <v>2022.01 거래가격 P.1435</v>
      </c>
      <c r="O8" s="105">
        <f>base!A27</f>
        <v>2022</v>
      </c>
      <c r="P8" s="105">
        <f>base!B27</f>
        <v>1</v>
      </c>
      <c r="Q8" s="105" t="str">
        <f>base!C27</f>
        <v>거래가격</v>
      </c>
      <c r="R8" s="105">
        <f>base!D27</f>
        <v>1435</v>
      </c>
    </row>
    <row r="9" spans="1:13" s="63" customFormat="1" ht="24.75" customHeight="1">
      <c r="A9" s="77" t="s">
        <v>66</v>
      </c>
      <c r="B9" s="45" t="s">
        <v>67</v>
      </c>
      <c r="C9" s="44">
        <v>0.24</v>
      </c>
      <c r="D9" s="46" t="s">
        <v>40</v>
      </c>
      <c r="E9" s="47">
        <f>F8</f>
        <v>6231</v>
      </c>
      <c r="F9" s="47">
        <f>INT(E9*C9)</f>
        <v>1495</v>
      </c>
      <c r="G9" s="47"/>
      <c r="H9" s="47"/>
      <c r="I9" s="47"/>
      <c r="J9" s="47"/>
      <c r="K9" s="8">
        <f t="shared" si="0"/>
        <v>6231</v>
      </c>
      <c r="L9" s="47">
        <f t="shared" si="0"/>
        <v>1495</v>
      </c>
      <c r="M9" s="78"/>
    </row>
    <row r="10" spans="1:13" s="63" customFormat="1" ht="24.75" customHeight="1">
      <c r="A10" s="77" t="s">
        <v>82</v>
      </c>
      <c r="B10" s="45"/>
      <c r="C10" s="44">
        <v>1</v>
      </c>
      <c r="D10" s="46" t="s">
        <v>68</v>
      </c>
      <c r="E10" s="47"/>
      <c r="F10" s="47"/>
      <c r="G10" s="47">
        <f>H26</f>
        <v>29239.791666666664</v>
      </c>
      <c r="H10" s="8">
        <f>INT(G10*C10)</f>
        <v>29239</v>
      </c>
      <c r="I10" s="47"/>
      <c r="J10" s="47"/>
      <c r="K10" s="8">
        <f>SUM(E10,G10,I10)</f>
        <v>29239.791666666664</v>
      </c>
      <c r="L10" s="47">
        <f>SUM(F10,H10,J10)</f>
        <v>29239</v>
      </c>
      <c r="M10" s="78" t="s">
        <v>69</v>
      </c>
    </row>
    <row r="11" spans="1:13" s="71" customFormat="1" ht="24.75" customHeight="1">
      <c r="A11" s="79" t="s">
        <v>61</v>
      </c>
      <c r="B11" s="49"/>
      <c r="C11" s="44"/>
      <c r="D11" s="46"/>
      <c r="E11" s="47"/>
      <c r="F11" s="50">
        <f>SUM(F7:F10)</f>
        <v>7726</v>
      </c>
      <c r="G11" s="47"/>
      <c r="H11" s="50">
        <f>SUM(H7:H10)</f>
        <v>29239</v>
      </c>
      <c r="I11" s="47"/>
      <c r="J11" s="50">
        <f>SUM(J7:J10)</f>
        <v>3090</v>
      </c>
      <c r="K11" s="47"/>
      <c r="L11" s="50">
        <f>SUM(F11,H11,J11)</f>
        <v>40055</v>
      </c>
      <c r="M11" s="80"/>
    </row>
    <row r="12" spans="1:13" s="6" customFormat="1" ht="24.75" customHeight="1">
      <c r="A12" s="199" t="s">
        <v>70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9" s="51" customFormat="1" ht="24.75" customHeight="1">
      <c r="A13" s="77" t="s">
        <v>71</v>
      </c>
      <c r="B13" s="45" t="s">
        <v>72</v>
      </c>
      <c r="C13" s="44">
        <v>1</v>
      </c>
      <c r="D13" s="46" t="s">
        <v>27</v>
      </c>
      <c r="E13" s="47"/>
      <c r="F13" s="47"/>
      <c r="G13" s="47"/>
      <c r="H13" s="47"/>
      <c r="I13" s="8">
        <f>Q13*R13*S13</f>
        <v>5965.153499999999</v>
      </c>
      <c r="J13" s="8">
        <f>INT(I13*C13)</f>
        <v>5965</v>
      </c>
      <c r="K13" s="8">
        <f>SUM(E13,G13,I13)</f>
        <v>5965.153499999999</v>
      </c>
      <c r="L13" s="8">
        <f>SUM(F13,H13,J13)</f>
        <v>5965</v>
      </c>
      <c r="M13" s="97" t="str">
        <f>O13&amp;"년 건설공사표준품셈(대한건설협회) P."&amp;P13&amp;"
기계값x시간당손료율="&amp;Q13&amp;"x"&amp;R13&amp;"x"&amp;S13</f>
        <v>2022년 건설공사표준품셈(대한건설협회) P.655,703,719
기계값x시간당손료율=20105000x2967x0.0000001</v>
      </c>
      <c r="N13" s="3"/>
      <c r="O13" s="5">
        <f>base!A11</f>
        <v>2022</v>
      </c>
      <c r="P13" s="5" t="str">
        <f>base!B11</f>
        <v>655,703,719</v>
      </c>
      <c r="Q13" s="5">
        <f>base!G11</f>
        <v>20105000</v>
      </c>
      <c r="R13" s="110">
        <f>base!H11</f>
        <v>2967</v>
      </c>
      <c r="S13" s="111">
        <f>base!I11</f>
        <v>1E-07</v>
      </c>
    </row>
    <row r="14" spans="1:19" s="51" customFormat="1" ht="24.75" customHeight="1">
      <c r="A14" s="10" t="s">
        <v>64</v>
      </c>
      <c r="B14" s="18" t="str">
        <f>B8</f>
        <v>0.001W% S</v>
      </c>
      <c r="C14" s="67">
        <v>2.9</v>
      </c>
      <c r="D14" s="48" t="s">
        <v>65</v>
      </c>
      <c r="E14" s="47">
        <f>E8</f>
        <v>1449.090909090909</v>
      </c>
      <c r="F14" s="47">
        <f>INT(E14*C14)</f>
        <v>4202</v>
      </c>
      <c r="G14" s="47"/>
      <c r="H14" s="47"/>
      <c r="I14" s="47"/>
      <c r="J14" s="47"/>
      <c r="K14" s="8">
        <f aca="true" t="shared" si="1" ref="K14:L16">SUM(E14,G14,I14)</f>
        <v>1449.090909090909</v>
      </c>
      <c r="L14" s="47">
        <f t="shared" si="1"/>
        <v>4202</v>
      </c>
      <c r="M14" s="104" t="str">
        <f>M8</f>
        <v>2022.01 거래가격 P.1435</v>
      </c>
      <c r="O14" s="105"/>
      <c r="P14" s="105"/>
      <c r="Q14" s="105"/>
      <c r="R14" s="105"/>
      <c r="S14" s="105"/>
    </row>
    <row r="15" spans="1:13" s="63" customFormat="1" ht="24.75" customHeight="1">
      <c r="A15" s="77" t="s">
        <v>66</v>
      </c>
      <c r="B15" s="45" t="s">
        <v>73</v>
      </c>
      <c r="C15" s="44">
        <v>0.38</v>
      </c>
      <c r="D15" s="46" t="s">
        <v>40</v>
      </c>
      <c r="E15" s="47">
        <f>F14</f>
        <v>4202</v>
      </c>
      <c r="F15" s="47">
        <f>INT(E15*C15)</f>
        <v>1596</v>
      </c>
      <c r="G15" s="47"/>
      <c r="H15" s="47"/>
      <c r="I15" s="47"/>
      <c r="J15" s="47"/>
      <c r="K15" s="8">
        <f t="shared" si="1"/>
        <v>4202</v>
      </c>
      <c r="L15" s="47">
        <f t="shared" si="1"/>
        <v>1596</v>
      </c>
      <c r="M15" s="78"/>
    </row>
    <row r="16" spans="1:13" s="63" customFormat="1" ht="24.75" customHeight="1">
      <c r="A16" s="77" t="s">
        <v>83</v>
      </c>
      <c r="B16" s="45"/>
      <c r="C16" s="44">
        <v>1</v>
      </c>
      <c r="D16" s="46" t="s">
        <v>68</v>
      </c>
      <c r="E16" s="47"/>
      <c r="F16" s="47"/>
      <c r="G16" s="47">
        <f>H28</f>
        <v>39645.20833333333</v>
      </c>
      <c r="H16" s="8">
        <f>INT(G16*C16)</f>
        <v>39645</v>
      </c>
      <c r="I16" s="47"/>
      <c r="J16" s="47"/>
      <c r="K16" s="8">
        <f t="shared" si="1"/>
        <v>39645.20833333333</v>
      </c>
      <c r="L16" s="47">
        <f t="shared" si="1"/>
        <v>39645</v>
      </c>
      <c r="M16" s="78" t="s">
        <v>87</v>
      </c>
    </row>
    <row r="17" spans="1:13" s="71" customFormat="1" ht="24.75" customHeight="1">
      <c r="A17" s="79" t="s">
        <v>61</v>
      </c>
      <c r="B17" s="49"/>
      <c r="C17" s="44"/>
      <c r="D17" s="46"/>
      <c r="E17" s="47"/>
      <c r="F17" s="50">
        <f>SUM(F13:F16)</f>
        <v>5798</v>
      </c>
      <c r="G17" s="47"/>
      <c r="H17" s="50">
        <f>SUM(H13:H16)</f>
        <v>39645</v>
      </c>
      <c r="I17" s="47"/>
      <c r="J17" s="50">
        <f>SUM(J13:J16)</f>
        <v>5965</v>
      </c>
      <c r="K17" s="47"/>
      <c r="L17" s="50">
        <f>SUM(F17,H17,J17)</f>
        <v>51408</v>
      </c>
      <c r="M17" s="80"/>
    </row>
    <row r="18" spans="1:13" s="6" customFormat="1" ht="24.75" customHeight="1">
      <c r="A18" s="199" t="s">
        <v>110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</row>
    <row r="19" spans="1:19" ht="24.75" customHeight="1">
      <c r="A19" s="10" t="s">
        <v>74</v>
      </c>
      <c r="B19" s="18" t="s">
        <v>111</v>
      </c>
      <c r="C19" s="12">
        <v>1</v>
      </c>
      <c r="D19" s="13" t="s">
        <v>27</v>
      </c>
      <c r="E19" s="8"/>
      <c r="F19" s="8"/>
      <c r="G19" s="8"/>
      <c r="H19" s="8"/>
      <c r="I19" s="8">
        <f>Q19*R19*S19</f>
        <v>24867.080599999998</v>
      </c>
      <c r="J19" s="8">
        <f>INT(I19*C19)</f>
        <v>24867</v>
      </c>
      <c r="K19" s="8">
        <f aca="true" t="shared" si="2" ref="K19:L23">SUM(E19,G19,I19)</f>
        <v>24867.080599999998</v>
      </c>
      <c r="L19" s="8">
        <f t="shared" si="2"/>
        <v>24867</v>
      </c>
      <c r="M19" s="97" t="str">
        <f>O19&amp;"년 건설공사표준품셈(대한건설협회) P."&amp;P19&amp;"
기계값x시간당손료율="&amp;Q19&amp;"x"&amp;R19&amp;"x"&amp;S19</f>
        <v>2022년 건설공사표준품셈(대한건설협회) P.651,702,718
기계값x시간당손료율=109114000x2279x0.0000001</v>
      </c>
      <c r="O19" s="5">
        <f>base!A9</f>
        <v>2022</v>
      </c>
      <c r="P19" s="5" t="str">
        <f>base!B9</f>
        <v>651,702,718</v>
      </c>
      <c r="Q19" s="5">
        <f>base!G9</f>
        <v>109114000</v>
      </c>
      <c r="R19" s="110">
        <f>base!H9</f>
        <v>2279</v>
      </c>
      <c r="S19" s="111">
        <f>base!I9</f>
        <v>1E-07</v>
      </c>
    </row>
    <row r="20" spans="1:19" ht="24.75" customHeight="1">
      <c r="A20" s="10" t="s">
        <v>75</v>
      </c>
      <c r="B20" s="18"/>
      <c r="C20" s="12">
        <v>1</v>
      </c>
      <c r="D20" s="13" t="s">
        <v>27</v>
      </c>
      <c r="E20" s="8"/>
      <c r="F20" s="8"/>
      <c r="G20" s="8"/>
      <c r="H20" s="8"/>
      <c r="I20" s="8">
        <f>Q20*R20*S20</f>
        <v>8457.2012</v>
      </c>
      <c r="J20" s="8">
        <f>INT(I20*C20)</f>
        <v>8457</v>
      </c>
      <c r="K20" s="8">
        <f t="shared" si="2"/>
        <v>8457.2012</v>
      </c>
      <c r="L20" s="8">
        <f t="shared" si="2"/>
        <v>8457</v>
      </c>
      <c r="M20" s="97" t="str">
        <f>O20&amp;"년 건설공사표준품셈(대한건설협회) P."&amp;P20&amp;"
기계값x시간당손료율="&amp;Q20&amp;"x"&amp;R20&amp;"x"&amp;S20</f>
        <v>2022년 건설공사표준품셈(대한건설협회) P.652,718
기계값x시간당손료율=12812000x6601x0.0000001</v>
      </c>
      <c r="O20" s="5">
        <f>base!A10</f>
        <v>2022</v>
      </c>
      <c r="P20" s="5" t="str">
        <f>base!B10</f>
        <v>652,718</v>
      </c>
      <c r="Q20" s="5">
        <f>base!G10</f>
        <v>12812000</v>
      </c>
      <c r="R20" s="110">
        <f>base!H10</f>
        <v>6601</v>
      </c>
      <c r="S20" s="111">
        <f>base!I10</f>
        <v>1E-07</v>
      </c>
    </row>
    <row r="21" spans="1:13" ht="24.75" customHeight="1">
      <c r="A21" s="10" t="s">
        <v>64</v>
      </c>
      <c r="B21" s="18" t="str">
        <f>B14</f>
        <v>0.001W% S</v>
      </c>
      <c r="C21" s="12">
        <f>base!E9</f>
        <v>11.6</v>
      </c>
      <c r="D21" s="40" t="s">
        <v>65</v>
      </c>
      <c r="E21" s="47">
        <f>E8</f>
        <v>1449.090909090909</v>
      </c>
      <c r="F21" s="8">
        <f>INT(E21*C21)</f>
        <v>16809</v>
      </c>
      <c r="G21" s="8"/>
      <c r="H21" s="8"/>
      <c r="I21" s="8"/>
      <c r="J21" s="8"/>
      <c r="K21" s="8">
        <f t="shared" si="2"/>
        <v>1449.090909090909</v>
      </c>
      <c r="L21" s="8">
        <f t="shared" si="2"/>
        <v>16809</v>
      </c>
      <c r="M21" s="104" t="str">
        <f>M8</f>
        <v>2022.01 거래가격 P.1435</v>
      </c>
    </row>
    <row r="22" spans="1:13" ht="24.75" customHeight="1">
      <c r="A22" s="10" t="s">
        <v>66</v>
      </c>
      <c r="B22" s="18" t="s">
        <v>67</v>
      </c>
      <c r="C22" s="12">
        <f>base!F9/100</f>
        <v>0.24</v>
      </c>
      <c r="D22" s="41" t="s">
        <v>40</v>
      </c>
      <c r="E22" s="8">
        <f>(F21)</f>
        <v>16809</v>
      </c>
      <c r="F22" s="8">
        <f>INT(E22*C22)</f>
        <v>4034</v>
      </c>
      <c r="G22" s="8"/>
      <c r="H22" s="8"/>
      <c r="I22" s="8"/>
      <c r="J22" s="8"/>
      <c r="K22" s="8">
        <f t="shared" si="2"/>
        <v>16809</v>
      </c>
      <c r="L22" s="8">
        <f t="shared" si="2"/>
        <v>4034</v>
      </c>
      <c r="M22" s="81"/>
    </row>
    <row r="23" spans="1:13" ht="24.75" customHeight="1">
      <c r="A23" s="10" t="s">
        <v>94</v>
      </c>
      <c r="B23" s="18"/>
      <c r="C23" s="12">
        <v>1</v>
      </c>
      <c r="D23" s="41" t="s">
        <v>95</v>
      </c>
      <c r="E23" s="8"/>
      <c r="F23" s="8"/>
      <c r="G23" s="8">
        <f>H30</f>
        <v>47849.166666666664</v>
      </c>
      <c r="H23" s="8">
        <f>INT(G23*C23)</f>
        <v>47849</v>
      </c>
      <c r="I23" s="8"/>
      <c r="J23" s="8"/>
      <c r="K23" s="8">
        <f t="shared" si="2"/>
        <v>47849.166666666664</v>
      </c>
      <c r="L23" s="8">
        <f t="shared" si="2"/>
        <v>47849</v>
      </c>
      <c r="M23" s="81" t="s">
        <v>96</v>
      </c>
    </row>
    <row r="24" spans="1:13" s="6" customFormat="1" ht="24.75" customHeight="1">
      <c r="A24" s="52" t="s">
        <v>97</v>
      </c>
      <c r="B24" s="17"/>
      <c r="C24" s="12"/>
      <c r="D24" s="13"/>
      <c r="E24" s="8"/>
      <c r="F24" s="15">
        <f>SUM(F19:F23)</f>
        <v>20843</v>
      </c>
      <c r="G24" s="8"/>
      <c r="H24" s="15">
        <f>SUM(H19:H23)</f>
        <v>47849</v>
      </c>
      <c r="I24" s="8"/>
      <c r="J24" s="15">
        <f>SUM(J19:J23)</f>
        <v>33324</v>
      </c>
      <c r="K24" s="8"/>
      <c r="L24" s="15">
        <f>SUM(L19:L23)</f>
        <v>102016</v>
      </c>
      <c r="M24" s="76"/>
    </row>
    <row r="25" spans="1:13" s="6" customFormat="1" ht="24.75" customHeight="1">
      <c r="A25" s="199" t="s">
        <v>84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</row>
    <row r="26" spans="1:13" s="6" customFormat="1" ht="24.75" customHeight="1">
      <c r="A26" s="10" t="s">
        <v>82</v>
      </c>
      <c r="B26" s="42"/>
      <c r="C26" s="43">
        <f>((1/8)*(16/12)*(25/20))</f>
        <v>0.20833333333333331</v>
      </c>
      <c r="D26" s="41" t="s">
        <v>36</v>
      </c>
      <c r="E26" s="41"/>
      <c r="F26" s="8"/>
      <c r="G26" s="8">
        <f>H35</f>
        <v>140351</v>
      </c>
      <c r="H26" s="8">
        <f>C26*G26</f>
        <v>29239.791666666664</v>
      </c>
      <c r="I26" s="8"/>
      <c r="J26" s="8"/>
      <c r="K26" s="8">
        <f>SUM(E26,G26,I26)</f>
        <v>140351</v>
      </c>
      <c r="L26" s="8">
        <f>SUM(F26,H26,J26)</f>
        <v>29239.791666666664</v>
      </c>
      <c r="M26" s="96" t="s">
        <v>77</v>
      </c>
    </row>
    <row r="27" spans="1:13" s="6" customFormat="1" ht="24.75" customHeight="1">
      <c r="A27" s="199" t="s">
        <v>85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</row>
    <row r="28" spans="1:13" s="6" customFormat="1" ht="24.75" customHeight="1">
      <c r="A28" s="10" t="s">
        <v>83</v>
      </c>
      <c r="B28" s="42"/>
      <c r="C28" s="43">
        <f>((1/8)*(16/12)*(25/20))</f>
        <v>0.20833333333333331</v>
      </c>
      <c r="D28" s="41" t="s">
        <v>36</v>
      </c>
      <c r="E28" s="41"/>
      <c r="F28" s="8"/>
      <c r="G28" s="8">
        <f>H36</f>
        <v>190297</v>
      </c>
      <c r="H28" s="8">
        <f>C28*G28</f>
        <v>39645.20833333333</v>
      </c>
      <c r="I28" s="8"/>
      <c r="J28" s="8"/>
      <c r="K28" s="8">
        <f>SUM(E28,G28,I28)</f>
        <v>190297</v>
      </c>
      <c r="L28" s="8">
        <f>SUM(F28,H28,J28)</f>
        <v>39645.20833333333</v>
      </c>
      <c r="M28" s="96" t="s">
        <v>77</v>
      </c>
    </row>
    <row r="29" spans="1:15" s="6" customFormat="1" ht="24.75" customHeight="1">
      <c r="A29" s="199" t="s">
        <v>86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  <c r="O29" s="136"/>
    </row>
    <row r="30" spans="1:15" s="6" customFormat="1" ht="24.75" customHeight="1">
      <c r="A30" s="10" t="s">
        <v>79</v>
      </c>
      <c r="B30" s="42"/>
      <c r="C30" s="43">
        <f>((1/8)*(16/12)*(25/20))</f>
        <v>0.20833333333333331</v>
      </c>
      <c r="D30" s="41" t="s">
        <v>76</v>
      </c>
      <c r="E30" s="41"/>
      <c r="F30" s="8"/>
      <c r="G30" s="8">
        <f>H37</f>
        <v>229676</v>
      </c>
      <c r="H30" s="8">
        <f>C30*G30</f>
        <v>47849.166666666664</v>
      </c>
      <c r="I30" s="8"/>
      <c r="J30" s="8"/>
      <c r="K30" s="8">
        <f>SUM(E30,G30,I30)</f>
        <v>229676</v>
      </c>
      <c r="L30" s="8">
        <f>SUM(F30,H30,J30)</f>
        <v>47849.166666666664</v>
      </c>
      <c r="M30" s="96" t="s">
        <v>77</v>
      </c>
      <c r="O30" s="136"/>
    </row>
    <row r="31" spans="1:13" ht="24.75" customHeight="1">
      <c r="A31" s="209" t="s">
        <v>78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</row>
    <row r="32" spans="1:18" ht="24.75" customHeight="1">
      <c r="A32" s="82" t="s">
        <v>91</v>
      </c>
      <c r="B32" s="73" t="str">
        <f>base!B14</f>
        <v>2022.1.1기준</v>
      </c>
      <c r="C32" s="74">
        <v>1</v>
      </c>
      <c r="D32" s="75" t="s">
        <v>99</v>
      </c>
      <c r="E32" s="8"/>
      <c r="F32" s="8">
        <f aca="true" t="shared" si="3" ref="F32:F37">C32*E32</f>
        <v>0</v>
      </c>
      <c r="G32" s="8">
        <f>base!E14</f>
        <v>187435</v>
      </c>
      <c r="H32" s="8">
        <f aca="true" t="shared" si="4" ref="H32:H37">C32*G32</f>
        <v>187435</v>
      </c>
      <c r="I32" s="8"/>
      <c r="J32" s="8"/>
      <c r="K32" s="8">
        <f aca="true" t="shared" si="5" ref="K32:K37">SUM(E32,G32,I32)</f>
        <v>187435</v>
      </c>
      <c r="L32" s="8">
        <f aca="true" t="shared" si="6" ref="L32:L37">F32+H32+J32</f>
        <v>187435</v>
      </c>
      <c r="M32" s="83"/>
      <c r="R32" s="135"/>
    </row>
    <row r="33" spans="1:18" ht="24.75" customHeight="1">
      <c r="A33" s="82" t="s">
        <v>92</v>
      </c>
      <c r="B33" s="73" t="str">
        <f>B32</f>
        <v>2022.1.1기준</v>
      </c>
      <c r="C33" s="74">
        <v>1</v>
      </c>
      <c r="D33" s="75" t="s">
        <v>88</v>
      </c>
      <c r="E33" s="8"/>
      <c r="F33" s="8">
        <f t="shared" si="3"/>
        <v>0</v>
      </c>
      <c r="G33" s="8">
        <f>base!E15</f>
        <v>148510</v>
      </c>
      <c r="H33" s="8">
        <f t="shared" si="4"/>
        <v>148510</v>
      </c>
      <c r="I33" s="8"/>
      <c r="J33" s="8"/>
      <c r="K33" s="8">
        <f t="shared" si="5"/>
        <v>148510</v>
      </c>
      <c r="L33" s="8">
        <f t="shared" si="6"/>
        <v>148510</v>
      </c>
      <c r="M33" s="84"/>
      <c r="R33" s="135"/>
    </row>
    <row r="34" spans="1:13" ht="24.75" customHeight="1">
      <c r="A34" s="82" t="s">
        <v>89</v>
      </c>
      <c r="B34" s="73" t="str">
        <f>B33</f>
        <v>2022.1.1기준</v>
      </c>
      <c r="C34" s="74">
        <v>1</v>
      </c>
      <c r="D34" s="75" t="s">
        <v>88</v>
      </c>
      <c r="E34" s="8"/>
      <c r="F34" s="8">
        <f t="shared" si="3"/>
        <v>0</v>
      </c>
      <c r="G34" s="8">
        <f>base!E16</f>
        <v>214374</v>
      </c>
      <c r="H34" s="8">
        <f t="shared" si="4"/>
        <v>214374</v>
      </c>
      <c r="I34" s="8"/>
      <c r="J34" s="8"/>
      <c r="K34" s="8">
        <f t="shared" si="5"/>
        <v>214374</v>
      </c>
      <c r="L34" s="8">
        <f t="shared" si="6"/>
        <v>214374</v>
      </c>
      <c r="M34" s="84"/>
    </row>
    <row r="35" spans="1:13" ht="24.75" customHeight="1">
      <c r="A35" s="82" t="s">
        <v>82</v>
      </c>
      <c r="B35" s="73" t="str">
        <f>B33</f>
        <v>2022.1.1기준</v>
      </c>
      <c r="C35" s="74">
        <v>1</v>
      </c>
      <c r="D35" s="75" t="s">
        <v>88</v>
      </c>
      <c r="E35" s="8"/>
      <c r="F35" s="8">
        <f t="shared" si="3"/>
        <v>0</v>
      </c>
      <c r="G35" s="8">
        <f>base!E18</f>
        <v>140351</v>
      </c>
      <c r="H35" s="8">
        <f t="shared" si="4"/>
        <v>140351</v>
      </c>
      <c r="I35" s="8"/>
      <c r="J35" s="8"/>
      <c r="K35" s="8">
        <f t="shared" si="5"/>
        <v>140351</v>
      </c>
      <c r="L35" s="8">
        <f t="shared" si="6"/>
        <v>140351</v>
      </c>
      <c r="M35" s="84"/>
    </row>
    <row r="36" spans="1:13" ht="24.75" customHeight="1">
      <c r="A36" s="82" t="s">
        <v>83</v>
      </c>
      <c r="B36" s="73" t="str">
        <f>B34</f>
        <v>2022.1.1기준</v>
      </c>
      <c r="C36" s="74">
        <v>1</v>
      </c>
      <c r="D36" s="75" t="s">
        <v>88</v>
      </c>
      <c r="E36" s="8"/>
      <c r="F36" s="8">
        <f t="shared" si="3"/>
        <v>0</v>
      </c>
      <c r="G36" s="8">
        <f>base!E19</f>
        <v>190297</v>
      </c>
      <c r="H36" s="8">
        <f t="shared" si="4"/>
        <v>190297</v>
      </c>
      <c r="I36" s="8"/>
      <c r="J36" s="8"/>
      <c r="K36" s="8">
        <f t="shared" si="5"/>
        <v>190297</v>
      </c>
      <c r="L36" s="8">
        <f t="shared" si="6"/>
        <v>190297</v>
      </c>
      <c r="M36" s="84"/>
    </row>
    <row r="37" spans="1:13" ht="24.75" customHeight="1">
      <c r="A37" s="85" t="s">
        <v>93</v>
      </c>
      <c r="B37" s="86" t="str">
        <f>B36</f>
        <v>2022.1.1기준</v>
      </c>
      <c r="C37" s="87">
        <v>1</v>
      </c>
      <c r="D37" s="88" t="s">
        <v>88</v>
      </c>
      <c r="E37" s="89"/>
      <c r="F37" s="89">
        <f t="shared" si="3"/>
        <v>0</v>
      </c>
      <c r="G37" s="89">
        <f>base!E20</f>
        <v>229676</v>
      </c>
      <c r="H37" s="89">
        <f t="shared" si="4"/>
        <v>229676</v>
      </c>
      <c r="I37" s="89"/>
      <c r="J37" s="89"/>
      <c r="K37" s="89">
        <f t="shared" si="5"/>
        <v>229676</v>
      </c>
      <c r="L37" s="89">
        <f t="shared" si="6"/>
        <v>229676</v>
      </c>
      <c r="M37" s="90"/>
    </row>
    <row r="39" spans="1:12" ht="17.25" customHeight="1">
      <c r="A39" s="64"/>
      <c r="B39" s="65"/>
      <c r="C39" s="64"/>
      <c r="D39" s="66"/>
      <c r="E39" s="57"/>
      <c r="F39" s="57"/>
      <c r="G39" s="57"/>
      <c r="H39" s="57"/>
      <c r="I39" s="57"/>
      <c r="J39" s="57"/>
      <c r="K39" s="57"/>
      <c r="L39" s="57"/>
    </row>
  </sheetData>
  <sheetProtection/>
  <mergeCells count="17">
    <mergeCell ref="C1:C2"/>
    <mergeCell ref="D1:D2"/>
    <mergeCell ref="E1:F1"/>
    <mergeCell ref="G1:H1"/>
    <mergeCell ref="A27:M27"/>
    <mergeCell ref="A25:M25"/>
    <mergeCell ref="A18:M18"/>
    <mergeCell ref="A29:M29"/>
    <mergeCell ref="A31:M31"/>
    <mergeCell ref="I1:J1"/>
    <mergeCell ref="K1:L1"/>
    <mergeCell ref="M1:M2"/>
    <mergeCell ref="A3:M3"/>
    <mergeCell ref="A6:M6"/>
    <mergeCell ref="A12:M12"/>
    <mergeCell ref="A1:A2"/>
    <mergeCell ref="B1:B2"/>
  </mergeCells>
  <printOptions gridLines="1"/>
  <pageMargins left="0.4724409448818898" right="0.2362204724409449" top="1.062992125984252" bottom="0.1968503937007874" header="0.6299212598425197" footer="0.15748031496062992"/>
  <pageSetup horizontalDpi="300" verticalDpi="300" orientation="landscape" paperSize="9" scale="78" r:id="rId1"/>
  <headerFooter alignWithMargins="0">
    <oddHeader>&amp;C&amp;"굴림체,굵게"&amp;16기    본    대    가    표&amp;R 
</oddHeader>
  </headerFooter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K28"/>
    </sheetView>
  </sheetViews>
  <sheetFormatPr defaultColWidth="8.88671875" defaultRowHeight="13.5"/>
  <cols>
    <col min="1" max="1" width="11.6640625" style="107" bestFit="1" customWidth="1"/>
    <col min="2" max="2" width="9.88671875" style="107" bestFit="1" customWidth="1"/>
    <col min="3" max="3" width="10.10546875" style="107" bestFit="1" customWidth="1"/>
    <col min="4" max="4" width="8.88671875" style="107" customWidth="1"/>
    <col min="5" max="5" width="9.3359375" style="107" bestFit="1" customWidth="1"/>
    <col min="6" max="6" width="8.77734375" style="107" bestFit="1" customWidth="1"/>
    <col min="7" max="7" width="11.10546875" style="107" bestFit="1" customWidth="1"/>
    <col min="8" max="8" width="10.77734375" style="107" bestFit="1" customWidth="1"/>
    <col min="9" max="16384" width="8.88671875" style="107" customWidth="1"/>
  </cols>
  <sheetData>
    <row r="1" spans="1:5" ht="16.5">
      <c r="A1" s="221" t="s">
        <v>160</v>
      </c>
      <c r="B1" s="222"/>
      <c r="D1" s="221" t="s">
        <v>161</v>
      </c>
      <c r="E1" s="222"/>
    </row>
    <row r="2" spans="1:5" ht="16.5">
      <c r="A2" s="141" t="s">
        <v>101</v>
      </c>
      <c r="B2" s="145" t="s">
        <v>102</v>
      </c>
      <c r="D2" s="141" t="s">
        <v>101</v>
      </c>
      <c r="E2" s="145" t="s">
        <v>102</v>
      </c>
    </row>
    <row r="3" spans="1:5" ht="16.5">
      <c r="A3" s="142">
        <v>2022</v>
      </c>
      <c r="B3" s="143">
        <v>795</v>
      </c>
      <c r="D3" s="142">
        <v>2022</v>
      </c>
      <c r="E3" s="143">
        <v>266</v>
      </c>
    </row>
    <row r="5" spans="1:9" ht="16.5">
      <c r="A5" s="223" t="s">
        <v>162</v>
      </c>
      <c r="B5" s="224"/>
      <c r="C5" s="224"/>
      <c r="D5" s="224"/>
      <c r="E5" s="224"/>
      <c r="F5" s="224"/>
      <c r="G5" s="224"/>
      <c r="H5" s="224"/>
      <c r="I5" s="225"/>
    </row>
    <row r="6" spans="1:13" ht="16.5">
      <c r="A6" s="141" t="s">
        <v>156</v>
      </c>
      <c r="B6" s="144" t="s">
        <v>163</v>
      </c>
      <c r="C6" s="144" t="s">
        <v>164</v>
      </c>
      <c r="D6" s="144" t="s">
        <v>148</v>
      </c>
      <c r="E6" s="144" t="s">
        <v>165</v>
      </c>
      <c r="F6" s="144" t="s">
        <v>166</v>
      </c>
      <c r="G6" s="144" t="s">
        <v>157</v>
      </c>
      <c r="H6" s="226" t="s">
        <v>167</v>
      </c>
      <c r="I6" s="227"/>
      <c r="J6" s="112"/>
      <c r="K6" s="112"/>
      <c r="L6" s="112"/>
      <c r="M6" s="108"/>
    </row>
    <row r="7" spans="1:13" ht="16.5">
      <c r="A7" s="141">
        <v>2022</v>
      </c>
      <c r="B7" s="232" t="s">
        <v>183</v>
      </c>
      <c r="C7" s="144" t="s">
        <v>168</v>
      </c>
      <c r="D7" s="146">
        <v>25</v>
      </c>
      <c r="E7" s="144">
        <v>4.3</v>
      </c>
      <c r="F7" s="144">
        <v>24</v>
      </c>
      <c r="G7" s="147">
        <v>13085000</v>
      </c>
      <c r="H7" s="148">
        <v>2362</v>
      </c>
      <c r="I7" s="149">
        <v>1E-07</v>
      </c>
      <c r="J7" s="112"/>
      <c r="K7" s="112"/>
      <c r="L7" s="112"/>
      <c r="M7" s="108"/>
    </row>
    <row r="8" spans="1:13" ht="16.5">
      <c r="A8" s="141">
        <v>2022</v>
      </c>
      <c r="B8" s="232" t="s">
        <v>184</v>
      </c>
      <c r="C8" s="144" t="s">
        <v>169</v>
      </c>
      <c r="D8" s="150">
        <f>15.24/2.54</f>
        <v>6</v>
      </c>
      <c r="E8" s="144"/>
      <c r="F8" s="144"/>
      <c r="G8" s="147">
        <v>786000</v>
      </c>
      <c r="H8" s="148">
        <v>5268</v>
      </c>
      <c r="I8" s="149">
        <v>1E-07</v>
      </c>
      <c r="J8" s="112"/>
      <c r="K8" s="112"/>
      <c r="L8" s="112"/>
      <c r="M8" s="108"/>
    </row>
    <row r="9" spans="1:13" ht="16.5">
      <c r="A9" s="141">
        <v>2022</v>
      </c>
      <c r="B9" s="232" t="s">
        <v>185</v>
      </c>
      <c r="C9" s="144" t="s">
        <v>170</v>
      </c>
      <c r="D9" s="151">
        <v>0.6</v>
      </c>
      <c r="E9" s="144">
        <v>11.6</v>
      </c>
      <c r="F9" s="144">
        <v>24</v>
      </c>
      <c r="G9" s="147">
        <v>109114000</v>
      </c>
      <c r="H9" s="148">
        <v>2279</v>
      </c>
      <c r="I9" s="149">
        <v>1E-07</v>
      </c>
      <c r="J9" s="152"/>
      <c r="K9" s="112"/>
      <c r="L9" s="112"/>
      <c r="M9" s="108"/>
    </row>
    <row r="10" spans="1:13" ht="16.5">
      <c r="A10" s="141">
        <v>2022</v>
      </c>
      <c r="B10" s="232" t="s">
        <v>186</v>
      </c>
      <c r="C10" s="144" t="s">
        <v>171</v>
      </c>
      <c r="D10" s="151">
        <v>0.6</v>
      </c>
      <c r="E10" s="144"/>
      <c r="F10" s="144"/>
      <c r="G10" s="147">
        <v>12812000</v>
      </c>
      <c r="H10" s="148">
        <v>6601</v>
      </c>
      <c r="I10" s="149">
        <v>1E-07</v>
      </c>
      <c r="J10" s="152"/>
      <c r="K10" s="112"/>
      <c r="L10" s="112"/>
      <c r="M10" s="108"/>
    </row>
    <row r="11" spans="1:13" ht="16.5">
      <c r="A11" s="142">
        <v>2022</v>
      </c>
      <c r="B11" s="233" t="s">
        <v>187</v>
      </c>
      <c r="C11" s="153" t="s">
        <v>149</v>
      </c>
      <c r="D11" s="154">
        <v>2.5</v>
      </c>
      <c r="E11" s="153">
        <v>2.9</v>
      </c>
      <c r="F11" s="153">
        <v>38</v>
      </c>
      <c r="G11" s="155">
        <v>20105000</v>
      </c>
      <c r="H11" s="156">
        <v>2967</v>
      </c>
      <c r="I11" s="157">
        <v>1E-07</v>
      </c>
      <c r="J11" s="112"/>
      <c r="K11" s="112"/>
      <c r="L11" s="112"/>
      <c r="M11" s="108"/>
    </row>
    <row r="12" spans="1:13" ht="16.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08"/>
    </row>
    <row r="13" spans="1:13" ht="16.5">
      <c r="A13" s="228" t="s">
        <v>172</v>
      </c>
      <c r="B13" s="229"/>
      <c r="C13" s="229"/>
      <c r="D13" s="229"/>
      <c r="E13" s="230"/>
      <c r="F13" s="112"/>
      <c r="G13" s="112"/>
      <c r="H13" s="112"/>
      <c r="I13" s="112"/>
      <c r="J13" s="112"/>
      <c r="K13" s="112"/>
      <c r="L13" s="112"/>
      <c r="M13" s="108"/>
    </row>
    <row r="14" spans="1:13" ht="16.5">
      <c r="A14" s="113" t="s">
        <v>103</v>
      </c>
      <c r="B14" s="114" t="s">
        <v>188</v>
      </c>
      <c r="C14" s="115">
        <v>1</v>
      </c>
      <c r="D14" s="116" t="s">
        <v>104</v>
      </c>
      <c r="E14" s="158">
        <v>187435</v>
      </c>
      <c r="F14" s="112"/>
      <c r="G14" s="234"/>
      <c r="H14" s="112"/>
      <c r="I14" s="112"/>
      <c r="J14" s="112"/>
      <c r="K14" s="112"/>
      <c r="L14" s="112"/>
      <c r="M14" s="108"/>
    </row>
    <row r="15" spans="1:13" ht="16.5">
      <c r="A15" s="113" t="s">
        <v>105</v>
      </c>
      <c r="B15" s="114" t="s">
        <v>189</v>
      </c>
      <c r="C15" s="115">
        <v>1</v>
      </c>
      <c r="D15" s="116" t="s">
        <v>104</v>
      </c>
      <c r="E15" s="158">
        <v>148510</v>
      </c>
      <c r="F15" s="112"/>
      <c r="G15" s="234"/>
      <c r="H15" s="112"/>
      <c r="I15" s="112"/>
      <c r="J15" s="112"/>
      <c r="K15" s="112"/>
      <c r="L15" s="112"/>
      <c r="M15" s="108"/>
    </row>
    <row r="16" spans="1:13" ht="16.5">
      <c r="A16" s="113" t="s">
        <v>106</v>
      </c>
      <c r="B16" s="114" t="s">
        <v>189</v>
      </c>
      <c r="C16" s="115">
        <v>1</v>
      </c>
      <c r="D16" s="116" t="s">
        <v>104</v>
      </c>
      <c r="E16" s="158">
        <v>214374</v>
      </c>
      <c r="F16" s="112"/>
      <c r="G16" s="234"/>
      <c r="H16" s="112"/>
      <c r="I16" s="112"/>
      <c r="J16" s="112"/>
      <c r="K16" s="112"/>
      <c r="L16" s="112"/>
      <c r="M16" s="108"/>
    </row>
    <row r="17" spans="1:13" ht="16.5">
      <c r="A17" s="113" t="s">
        <v>158</v>
      </c>
      <c r="B17" s="114" t="str">
        <f>B16</f>
        <v>2022.1.1기준</v>
      </c>
      <c r="C17" s="115">
        <v>1</v>
      </c>
      <c r="D17" s="116" t="s">
        <v>104</v>
      </c>
      <c r="E17" s="158">
        <v>185264</v>
      </c>
      <c r="F17" s="234"/>
      <c r="G17" s="234"/>
      <c r="H17" s="112"/>
      <c r="I17" s="112"/>
      <c r="J17" s="112"/>
      <c r="K17" s="112"/>
      <c r="L17" s="112"/>
      <c r="M17" s="112"/>
    </row>
    <row r="18" spans="1:11" ht="16.5">
      <c r="A18" s="113" t="s">
        <v>107</v>
      </c>
      <c r="B18" s="114" t="str">
        <f>B17</f>
        <v>2022.1.1기준</v>
      </c>
      <c r="C18" s="115">
        <v>1</v>
      </c>
      <c r="D18" s="116" t="s">
        <v>104</v>
      </c>
      <c r="E18" s="158">
        <v>140351</v>
      </c>
      <c r="F18" s="109"/>
      <c r="G18" s="235"/>
      <c r="H18" s="109"/>
      <c r="I18" s="109"/>
      <c r="J18" s="109"/>
      <c r="K18" s="109"/>
    </row>
    <row r="19" spans="1:11" ht="16.5">
      <c r="A19" s="113" t="s">
        <v>108</v>
      </c>
      <c r="B19" s="114" t="str">
        <f>B18</f>
        <v>2022.1.1기준</v>
      </c>
      <c r="C19" s="115">
        <v>1</v>
      </c>
      <c r="D19" s="116" t="s">
        <v>104</v>
      </c>
      <c r="E19" s="158">
        <v>190297</v>
      </c>
      <c r="F19" s="109"/>
      <c r="G19" s="235"/>
      <c r="H19" s="109"/>
      <c r="I19" s="109"/>
      <c r="J19" s="109"/>
      <c r="K19" s="109"/>
    </row>
    <row r="20" spans="1:7" ht="16.5">
      <c r="A20" s="117" t="s">
        <v>150</v>
      </c>
      <c r="B20" s="118" t="str">
        <f>B19</f>
        <v>2022.1.1기준</v>
      </c>
      <c r="C20" s="119">
        <v>1</v>
      </c>
      <c r="D20" s="120" t="s">
        <v>104</v>
      </c>
      <c r="E20" s="159">
        <v>229676</v>
      </c>
      <c r="G20" s="235"/>
    </row>
    <row r="22" spans="1:7" ht="16.5">
      <c r="A22" s="160" t="s">
        <v>173</v>
      </c>
      <c r="B22" s="161"/>
      <c r="C22" s="161"/>
      <c r="D22" s="161"/>
      <c r="E22" s="161"/>
      <c r="F22" s="161"/>
      <c r="G22" s="162"/>
    </row>
    <row r="23" spans="1:7" ht="16.5" customHeight="1">
      <c r="A23" s="141" t="s">
        <v>156</v>
      </c>
      <c r="B23" s="144" t="s">
        <v>174</v>
      </c>
      <c r="C23" s="144" t="s">
        <v>175</v>
      </c>
      <c r="D23" s="121" t="s">
        <v>163</v>
      </c>
      <c r="E23" s="144" t="s">
        <v>176</v>
      </c>
      <c r="F23" s="144" t="s">
        <v>148</v>
      </c>
      <c r="G23" s="145" t="s">
        <v>177</v>
      </c>
    </row>
    <row r="24" spans="1:10" ht="16.5" customHeight="1">
      <c r="A24" s="141">
        <v>2022</v>
      </c>
      <c r="B24" s="144">
        <v>1</v>
      </c>
      <c r="C24" s="144" t="s">
        <v>159</v>
      </c>
      <c r="D24" s="163">
        <v>1322</v>
      </c>
      <c r="E24" s="144" t="s">
        <v>151</v>
      </c>
      <c r="F24" s="150">
        <f>17.78/2.54</f>
        <v>7</v>
      </c>
      <c r="G24" s="158">
        <f>147000+60000+60000</f>
        <v>267000</v>
      </c>
      <c r="H24" s="220" t="s">
        <v>152</v>
      </c>
      <c r="I24" s="231" t="s">
        <v>178</v>
      </c>
      <c r="J24" s="164"/>
    </row>
    <row r="25" spans="1:9" ht="16.5">
      <c r="A25" s="141">
        <v>2022</v>
      </c>
      <c r="B25" s="163">
        <f>B24</f>
        <v>1</v>
      </c>
      <c r="C25" s="144" t="s">
        <v>159</v>
      </c>
      <c r="D25" s="163">
        <f>D24</f>
        <v>1322</v>
      </c>
      <c r="E25" s="144" t="s">
        <v>151</v>
      </c>
      <c r="F25" s="150">
        <f>15.24/2.54</f>
        <v>6</v>
      </c>
      <c r="G25" s="158">
        <f>118000+38000+24000</f>
        <v>180000</v>
      </c>
      <c r="H25" s="220"/>
      <c r="I25" s="231"/>
    </row>
    <row r="26" spans="1:9" ht="16.5">
      <c r="A26" s="141">
        <v>2022</v>
      </c>
      <c r="B26" s="163">
        <f>B25</f>
        <v>1</v>
      </c>
      <c r="C26" s="144" t="s">
        <v>159</v>
      </c>
      <c r="D26" s="163">
        <f>D25</f>
        <v>1322</v>
      </c>
      <c r="E26" s="144" t="s">
        <v>151</v>
      </c>
      <c r="F26" s="150">
        <f>2.54/2.54</f>
        <v>1</v>
      </c>
      <c r="G26" s="158">
        <f>26000+6500+9100</f>
        <v>41600</v>
      </c>
      <c r="H26" s="164" t="s">
        <v>179</v>
      </c>
      <c r="I26" s="231"/>
    </row>
    <row r="27" spans="1:7" ht="16.5">
      <c r="A27" s="142">
        <v>2022</v>
      </c>
      <c r="B27" s="153">
        <f>B26</f>
        <v>1</v>
      </c>
      <c r="C27" s="153" t="s">
        <v>180</v>
      </c>
      <c r="D27" s="165">
        <v>1435</v>
      </c>
      <c r="E27" s="153" t="s">
        <v>181</v>
      </c>
      <c r="F27" s="166" t="s">
        <v>100</v>
      </c>
      <c r="G27" s="159">
        <f>1594/1.1</f>
        <v>1449.090909090909</v>
      </c>
    </row>
  </sheetData>
  <sheetProtection/>
  <mergeCells count="7">
    <mergeCell ref="H24:H25"/>
    <mergeCell ref="A1:B1"/>
    <mergeCell ref="A5:I5"/>
    <mergeCell ref="H6:I6"/>
    <mergeCell ref="A13:E13"/>
    <mergeCell ref="D1:E1"/>
    <mergeCell ref="I24:I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SHY</cp:lastModifiedBy>
  <cp:lastPrinted>2016-01-28T03:23:26Z</cp:lastPrinted>
  <dcterms:created xsi:type="dcterms:W3CDTF">2001-04-21T04:10:40Z</dcterms:created>
  <dcterms:modified xsi:type="dcterms:W3CDTF">2022-02-14T08:30:16Z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C:\Users\CKM\AppData\Local\Microsoft\Windows\INetCache\IE\U2FJJVUM\SC-OPEN-SB5-H1270xW17000-1904(최종).xls</vt:lpwstr>
  </property>
</Properties>
</file>