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53" activeTab="0"/>
  </bookViews>
  <sheets>
    <sheet name="표지" sheetId="1" r:id="rId1"/>
    <sheet name="일위대가" sheetId="2" r:id="rId2"/>
    <sheet name="기본대가" sheetId="3" r:id="rId3"/>
    <sheet name="base" sheetId="4" state="hidden" r:id="rId4"/>
  </sheets>
  <definedNames>
    <definedName name="_xlnm.Print_Area" localSheetId="2">'기본대가'!$A$1:$M$27</definedName>
    <definedName name="_xlnm.Print_Area" localSheetId="1">'일위대가'!$A$1:$M$60</definedName>
    <definedName name="_xlnm.Print_Area" localSheetId="0">'표지'!#REF!</definedName>
    <definedName name="_xlnm.Print_Titles" localSheetId="1">'일위대가'!$2:$3</definedName>
  </definedNames>
  <calcPr fullCalcOnLoad="1"/>
</workbook>
</file>

<file path=xl/sharedStrings.xml><?xml version="1.0" encoding="utf-8"?>
<sst xmlns="http://schemas.openxmlformats.org/spreadsheetml/2006/main" count="301" uniqueCount="177">
  <si>
    <t>과  장</t>
  </si>
  <si>
    <t>심 사 자</t>
  </si>
  <si>
    <t>설 계 자</t>
  </si>
  <si>
    <t>설 계</t>
  </si>
  <si>
    <t xml:space="preserve">  년    월   일</t>
  </si>
  <si>
    <t>심 사</t>
  </si>
  <si>
    <t>업체명:</t>
  </si>
  <si>
    <t>T E L :</t>
  </si>
  <si>
    <t>일  자:</t>
  </si>
  <si>
    <t>F A X :</t>
  </si>
  <si>
    <t>담   당</t>
  </si>
  <si>
    <t>결  재</t>
  </si>
  <si>
    <t xml:space="preserve">       년   월   일</t>
  </si>
  <si>
    <t xml:space="preserve">                    설      계      서</t>
  </si>
  <si>
    <t>합   계</t>
  </si>
  <si>
    <t>비  고</t>
  </si>
  <si>
    <t>단  가</t>
  </si>
  <si>
    <t>금  액</t>
  </si>
  <si>
    <t>인</t>
  </si>
  <si>
    <t>* "m"당 단가 :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</si>
  <si>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</si>
  <si>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</si>
  <si>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</si>
  <si>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</si>
  <si>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</si>
  <si>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</si>
  <si>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</si>
  <si>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</si>
  <si>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</si>
  <si>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</si>
  <si>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</si>
  <si>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백호(브레이커 포함)</t>
  </si>
  <si>
    <t>hr</t>
  </si>
  <si>
    <t>보통인부</t>
  </si>
  <si>
    <t>식</t>
  </si>
  <si>
    <t>잡재료비</t>
  </si>
  <si>
    <t>식</t>
  </si>
  <si>
    <t>계</t>
  </si>
  <si>
    <t>인력품의 3%</t>
  </si>
  <si>
    <t>특별인부</t>
  </si>
  <si>
    <t>계</t>
  </si>
  <si>
    <r>
      <t>0.6m</t>
    </r>
    <r>
      <rPr>
        <vertAlign val="superscript"/>
        <sz val="10"/>
        <rFont val="굴림"/>
        <family val="3"/>
      </rPr>
      <t>3</t>
    </r>
  </si>
  <si>
    <t>대형브레이커</t>
  </si>
  <si>
    <t>경유</t>
  </si>
  <si>
    <t>l</t>
  </si>
  <si>
    <t>잡재료</t>
  </si>
  <si>
    <r>
      <t>0.6m</t>
    </r>
    <r>
      <rPr>
        <vertAlign val="superscript"/>
        <sz val="10"/>
        <rFont val="굴림"/>
        <family val="3"/>
      </rPr>
      <t>3</t>
    </r>
  </si>
  <si>
    <t>소계(설치비)</t>
  </si>
  <si>
    <t>주연료의 24%</t>
  </si>
  <si>
    <t>건설기계운전사</t>
  </si>
  <si>
    <t>1일기준시간x상여계수x휴지계수=(1/8)x(16/12)x(25/20)</t>
  </si>
  <si>
    <r>
      <t xml:space="preserve"> * 제1호표 : 굴삭기(타이어, 0.6m</t>
    </r>
    <r>
      <rPr>
        <b/>
        <vertAlign val="superscript"/>
        <sz val="10"/>
        <rFont val="굴림"/>
        <family val="3"/>
      </rPr>
      <t>3</t>
    </r>
    <r>
      <rPr>
        <b/>
        <sz val="10"/>
        <rFont val="굴림"/>
        <family val="3"/>
      </rPr>
      <t>, 대형브레이커 포함)-'시간'당</t>
    </r>
  </si>
  <si>
    <t>지      주</t>
  </si>
  <si>
    <t>(02)3436-6450</t>
  </si>
  <si>
    <t xml:space="preserve"> * 노임단가</t>
  </si>
  <si>
    <t>2.5TON</t>
  </si>
  <si>
    <t>hr</t>
  </si>
  <si>
    <t>화물차운전사</t>
  </si>
  <si>
    <t>인</t>
  </si>
  <si>
    <t>계</t>
  </si>
  <si>
    <t>발전기</t>
  </si>
  <si>
    <t>25kw</t>
  </si>
  <si>
    <t>일반기계운전사</t>
  </si>
  <si>
    <t xml:space="preserve"> * 제2호표 : 덤프트럭(2.5ton)-'시간'당</t>
  </si>
  <si>
    <t>인</t>
  </si>
  <si>
    <t xml:space="preserve"> * 제3호표 : 발전기(25kw)-'시간'당</t>
  </si>
  <si>
    <t>덤프</t>
  </si>
  <si>
    <t>건설기계운전사</t>
  </si>
  <si>
    <t>일</t>
  </si>
  <si>
    <t>화물차운전사</t>
  </si>
  <si>
    <t>일반기계운전사</t>
  </si>
  <si>
    <t>발전기</t>
  </si>
  <si>
    <t>25kw</t>
  </si>
  <si>
    <t>hr</t>
  </si>
  <si>
    <t>1일기준시간x상여계수x휴지계수=(1/8)x(16/12)x(25/20)</t>
  </si>
  <si>
    <t>덤프트럭</t>
  </si>
  <si>
    <t>2.5ton</t>
  </si>
  <si>
    <t>주연료의 38%</t>
  </si>
  <si>
    <t>유압식백호</t>
  </si>
  <si>
    <t>hr</t>
  </si>
  <si>
    <t>0.001W% S</t>
  </si>
  <si>
    <t>l</t>
  </si>
  <si>
    <t>일</t>
  </si>
  <si>
    <t>연도</t>
  </si>
  <si>
    <t>페이지</t>
  </si>
  <si>
    <t>특별인부</t>
  </si>
  <si>
    <t>보통인부</t>
  </si>
  <si>
    <t>철골공</t>
  </si>
  <si>
    <t>일반기계운전사</t>
  </si>
  <si>
    <t>경    비</t>
  </si>
  <si>
    <t>보강지주</t>
  </si>
  <si>
    <t>셋트</t>
  </si>
  <si>
    <t>소계(제품비)</t>
  </si>
  <si>
    <t>본</t>
  </si>
  <si>
    <t>3Way레일</t>
  </si>
  <si>
    <t>460×3.2t×4330</t>
  </si>
  <si>
    <t>개</t>
  </si>
  <si>
    <t>블럭아웃</t>
  </si>
  <si>
    <t>지주캡</t>
  </si>
  <si>
    <t>레일연결볼트</t>
  </si>
  <si>
    <t>/  2m  =</t>
  </si>
  <si>
    <t>주연료의 24%</t>
  </si>
  <si>
    <t>인</t>
  </si>
  <si>
    <t xml:space="preserve"> 정도산업㈜ </t>
  </si>
  <si>
    <t>1577-8549</t>
  </si>
  <si>
    <t>표 준 형  가 드 레 일 [3WAY] - 성토부 비탈면용</t>
  </si>
  <si>
    <t>단  가</t>
  </si>
  <si>
    <t>1. 표준형 가드레일 [3WAY] - 노측용 (H810xW2000-SB3-B등급)설치공사 "경간"당 (성토부 비탈면 구간)</t>
  </si>
  <si>
    <t>지      주</t>
  </si>
  <si>
    <t>본</t>
  </si>
  <si>
    <t>장</t>
  </si>
  <si>
    <t>아연도금 또는 분체도장 가능 (선택사항)</t>
  </si>
  <si>
    <t>Φ139.8</t>
  </si>
  <si>
    <t>블럭아웃고정볼트</t>
  </si>
  <si>
    <t>고정볼트</t>
  </si>
  <si>
    <t>셋트</t>
  </si>
  <si>
    <t>2. 단부(표준형 [3WAY] H810 노측용) 설치공사 "개소"당 (성토부 비탈면 구간) - 라운드레일</t>
  </si>
  <si>
    <t>보강지주</t>
  </si>
  <si>
    <t>지 주 캡</t>
  </si>
  <si>
    <t>개</t>
  </si>
  <si>
    <t>블럭아웃</t>
  </si>
  <si>
    <t>라운드레일</t>
  </si>
  <si>
    <t>장</t>
  </si>
  <si>
    <t>셋트</t>
  </si>
  <si>
    <t>장홈지주</t>
  </si>
  <si>
    <t>Φ114.3×4.3t×500</t>
  </si>
  <si>
    <t>3. 단부(표준형 [3WAY] H810 노측용) 설치공사 "개소"당 (성토부 비탈면 구간) - 엔드레일</t>
  </si>
  <si>
    <t>엔드레일</t>
  </si>
  <si>
    <t>장</t>
  </si>
  <si>
    <t>Φ139.8×4.3t×2100</t>
  </si>
  <si>
    <t>260×4.0t×245</t>
  </si>
  <si>
    <t>M19×180</t>
  </si>
  <si>
    <t>M18×50</t>
  </si>
  <si>
    <t>M16×33</t>
  </si>
  <si>
    <t>460×965×4.0T</t>
  </si>
  <si>
    <t>460×865×4.0T</t>
  </si>
  <si>
    <t>연도</t>
  </si>
  <si>
    <t>페이지</t>
  </si>
  <si>
    <t xml:space="preserve"> * 노임단가</t>
  </si>
  <si>
    <t>물가지</t>
  </si>
  <si>
    <t>재료명</t>
  </si>
  <si>
    <t>중분대 항타용</t>
  </si>
  <si>
    <t>거래가격</t>
  </si>
  <si>
    <t>표준구간의 50%</t>
  </si>
  <si>
    <t>장비가격(천원)</t>
  </si>
  <si>
    <t>대형브레이커</t>
  </si>
  <si>
    <t>덤프트럭</t>
  </si>
  <si>
    <t xml:space="preserve"> * 재료단가</t>
  </si>
  <si>
    <t>3단코어비트</t>
  </si>
  <si>
    <t>0.001W% S</t>
  </si>
  <si>
    <t xml:space="preserve"> * 건설표준품셈</t>
  </si>
  <si>
    <t xml:space="preserve"> * 거래가격</t>
  </si>
  <si>
    <t xml:space="preserve"> * 장비단가</t>
  </si>
  <si>
    <t>공종</t>
  </si>
  <si>
    <t>규격</t>
  </si>
  <si>
    <t>주연료(l/hr)</t>
  </si>
  <si>
    <t>잡재료(%)</t>
  </si>
  <si>
    <t>손료</t>
  </si>
  <si>
    <t>발전기</t>
  </si>
  <si>
    <t>코어드릴</t>
  </si>
  <si>
    <t>굴삭기</t>
  </si>
  <si>
    <t>건설기계운전사</t>
  </si>
  <si>
    <t>월</t>
  </si>
  <si>
    <t>금액</t>
  </si>
  <si>
    <t>거래가격</t>
  </si>
  <si>
    <t>비트+튜브+커플링</t>
  </si>
  <si>
    <t>옹벽용</t>
  </si>
  <si>
    <t>거래가격</t>
  </si>
  <si>
    <t>경유</t>
  </si>
  <si>
    <t>2022년  월  일</t>
  </si>
  <si>
    <t>691,712,730</t>
  </si>
  <si>
    <t>681,727</t>
  </si>
  <si>
    <t>651,702,718</t>
  </si>
  <si>
    <t>652,718</t>
  </si>
  <si>
    <t>655,703,719</t>
  </si>
  <si>
    <t>2022.1.1기준</t>
  </si>
  <si>
    <t>2022.1.1기준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</si>
</sst>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_ * #,##0_ ;_ * \-#,##0_ ;_ * &quot;-&quot;_ ;_ @_ "/>
    <numFmt numFmtId="180" formatCode="_ * #,##0.00_ ;_ * \-#,##0.00_ ;_ * &quot;-&quot;??_ ;_ @_ "/>
    <numFmt numFmtId="181" formatCode="_-* #,##0_-;\-* #,##0_-;_-* &quot;-&quot;??_-;_-@_-"/>
    <numFmt numFmtId="182" formatCode="#,##0.00##;[Red]&quot;△&quot;#,##0.00##"/>
    <numFmt numFmtId="183" formatCode="#,##0.####;[Red]&quot;△&quot;#,##0.####"/>
    <numFmt numFmtId="184" formatCode="#,##0&quot; &quot;;[Red]&quot;△&quot;#,##0&quot; &quot;"/>
    <numFmt numFmtId="185" formatCode="* #,##0&quot; &quot;;[Red]* &quot;△&quot;#,##0&quot; &quot;;* @"/>
    <numFmt numFmtId="186" formatCode="_-* #,##0.0_-;\-* #,##0.0_-;_-* &quot;-&quot;?_-;_-@_-"/>
    <numFmt numFmtId="187" formatCode="_-* #,##0.000_-;\-* #,##0.000_-;_-* &quot;-&quot;???_-;_-@_-"/>
    <numFmt numFmtId="188" formatCode="#,##0_ "/>
    <numFmt numFmtId="189" formatCode="0,000\ "/>
    <numFmt numFmtId="190" formatCode="000\-000"/>
    <numFmt numFmtId="191" formatCode="0.000_);[Red]\(0.000\)"/>
    <numFmt numFmtId="192" formatCode="0.000_ "/>
    <numFmt numFmtId="193" formatCode="#,##0.00_ "/>
    <numFmt numFmtId="194" formatCode="#,##0;[Red]#,##0"/>
    <numFmt numFmtId="195" formatCode="#,##0_);\(#,##0\)"/>
    <numFmt numFmtId="196" formatCode="mm&quot;월&quot;\ dd&quot;일&quot;"/>
    <numFmt numFmtId="197" formatCode="#,##0.000_ "/>
    <numFmt numFmtId="198" formatCode="#,##0.000_);[Red]\(#,##0.000\)"/>
    <numFmt numFmtId="199" formatCode="#,##0_);[Red]\(#,##0\)"/>
    <numFmt numFmtId="200" formatCode="_-* #,##0.000000_-;\-* #,##0.000000_-;_-* &quot;-&quot;??????_-;_-@_-"/>
    <numFmt numFmtId="201" formatCode="_-* #,##0.0000_-;\-* #,##0.0000_-;_-* &quot;-&quot;????_-;_-@_-"/>
    <numFmt numFmtId="202" formatCode="_-* #,##0.00000000_-;\-* #,##0.00000000_-;_-* &quot;-&quot;????????_-;_-@_-"/>
    <numFmt numFmtId="203" formatCode="0.00_ "/>
    <numFmt numFmtId="204" formatCode="0.0_);[Red]\(0.0\)"/>
    <numFmt numFmtId="205" formatCode="0.0"/>
    <numFmt numFmtId="206" formatCode="0.000"/>
    <numFmt numFmtId="207" formatCode="0.0%"/>
    <numFmt numFmtId="208" formatCode="0.0_ "/>
    <numFmt numFmtId="209" formatCode="0.0000_ "/>
    <numFmt numFmtId="210" formatCode="0.0;[Red]0.0"/>
    <numFmt numFmtId="211" formatCode="[$-412]yyyy&quot;년&quot;\ m&quot;월&quot;\ d&quot;일&quot;\ dddd"/>
    <numFmt numFmtId="212" formatCode="[$-412]AM/PM\ h:mm:ss"/>
    <numFmt numFmtId="213" formatCode="_-&quot;₩&quot;* #,##0.000_-;\-&quot;₩&quot;* #,##0.000_-;_-&quot;₩&quot;* &quot;-&quot;???_-;_-@_-"/>
    <numFmt numFmtId="214" formatCode="0&quot; kw&quot;"/>
    <numFmt numFmtId="215" formatCode="#,###,"/>
    <numFmt numFmtId="216" formatCode="0&quot; inch&quot;"/>
    <numFmt numFmtId="217" formatCode="0.0\ &quot;㎥&quot;"/>
    <numFmt numFmtId="218" formatCode="0.0\ &quot;ton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70">
    <font>
      <sz val="11"/>
      <name val="돋움"/>
      <family val="3"/>
    </font>
    <font>
      <b/>
      <sz val="11"/>
      <name val="굴림"/>
      <family val="3"/>
    </font>
    <font>
      <sz val="8"/>
      <name val="돋움"/>
      <family val="3"/>
    </font>
    <font>
      <sz val="11"/>
      <name val="µ¸¿ò"/>
      <family val="3"/>
    </font>
    <font>
      <b/>
      <sz val="10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0"/>
      <name val="돋움"/>
      <family val="3"/>
    </font>
    <font>
      <u val="single"/>
      <sz val="10"/>
      <color indexed="36"/>
      <name val="굴림"/>
      <family val="3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2"/>
      <name val="굴림"/>
      <family val="3"/>
    </font>
    <font>
      <b/>
      <sz val="12"/>
      <name val="Arial"/>
      <family val="2"/>
    </font>
    <font>
      <sz val="11"/>
      <name val="굴림"/>
      <family val="3"/>
    </font>
    <font>
      <sz val="9"/>
      <name val="굴림"/>
      <family val="3"/>
    </font>
    <font>
      <sz val="10"/>
      <name val="CommercialScript BT"/>
      <family val="4"/>
    </font>
    <font>
      <sz val="10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b/>
      <sz val="10"/>
      <name val="굴림체"/>
      <family val="3"/>
    </font>
    <font>
      <b/>
      <sz val="11"/>
      <color indexed="48"/>
      <name val="굴림"/>
      <family val="3"/>
    </font>
    <font>
      <b/>
      <sz val="12"/>
      <color indexed="48"/>
      <name val="굴림체"/>
      <family val="3"/>
    </font>
    <font>
      <vertAlign val="superscript"/>
      <sz val="10"/>
      <name val="굴림"/>
      <family val="3"/>
    </font>
    <font>
      <b/>
      <vertAlign val="superscript"/>
      <sz val="10"/>
      <name val="굴림"/>
      <family val="3"/>
    </font>
    <font>
      <sz val="6"/>
      <name val="굴림"/>
      <family val="3"/>
    </font>
    <font>
      <sz val="8"/>
      <color indexed="8"/>
      <name val="굴림"/>
      <family val="3"/>
    </font>
    <font>
      <sz val="8"/>
      <name val="맑은 고딕"/>
      <family val="3"/>
    </font>
    <font>
      <b/>
      <sz val="10"/>
      <name val="함초롬돋움"/>
      <family val="3"/>
    </font>
    <font>
      <sz val="10"/>
      <name val="함초롬돋움"/>
      <family val="3"/>
    </font>
    <font>
      <b/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함초롬돋움"/>
      <family val="3"/>
    </font>
    <font>
      <b/>
      <sz val="10"/>
      <color indexed="8"/>
      <name val="함초롬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함초롬돋움"/>
      <family val="3"/>
    </font>
    <font>
      <b/>
      <sz val="10"/>
      <color theme="1"/>
      <name val="함초롬돋움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11" applyNumberFormat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1" fontId="6" fillId="0" borderId="0" xfId="51" applyFont="1" applyBorder="1" applyAlignment="1">
      <alignment vertical="center"/>
    </xf>
    <xf numFmtId="0" fontId="4" fillId="0" borderId="0" xfId="79" applyNumberFormat="1" applyFont="1" applyBorder="1" applyAlignment="1">
      <alignment horizontal="left" vertical="center"/>
      <protection/>
    </xf>
    <xf numFmtId="0" fontId="6" fillId="0" borderId="0" xfId="79" applyFont="1" applyBorder="1" applyAlignment="1">
      <alignment vertical="center"/>
      <protection/>
    </xf>
    <xf numFmtId="0" fontId="6" fillId="0" borderId="0" xfId="79" applyFont="1" applyBorder="1" applyAlignment="1">
      <alignment horizontal="left" vertical="center"/>
      <protection/>
    </xf>
    <xf numFmtId="0" fontId="6" fillId="0" borderId="0" xfId="79" applyFont="1" applyBorder="1" applyAlignment="1">
      <alignment horizontal="center" vertical="center"/>
      <protection/>
    </xf>
    <xf numFmtId="0" fontId="5" fillId="0" borderId="0" xfId="79" applyFont="1" applyBorder="1" applyAlignment="1">
      <alignment vertical="center"/>
      <protection/>
    </xf>
    <xf numFmtId="0" fontId="1" fillId="0" borderId="0" xfId="79" applyFont="1" applyBorder="1" applyAlignment="1">
      <alignment vertical="center"/>
      <protection/>
    </xf>
    <xf numFmtId="41" fontId="5" fillId="0" borderId="12" xfId="5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8" fontId="5" fillId="0" borderId="12" xfId="51" applyNumberFormat="1" applyFont="1" applyBorder="1" applyAlignment="1">
      <alignment vertical="center"/>
    </xf>
    <xf numFmtId="41" fontId="4" fillId="0" borderId="12" xfId="51" applyFont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0" fontId="14" fillId="0" borderId="0" xfId="79" applyFont="1" applyBorder="1" applyAlignment="1">
      <alignment vertical="center"/>
      <protection/>
    </xf>
    <xf numFmtId="0" fontId="13" fillId="0" borderId="0" xfId="79" applyFont="1" applyBorder="1" applyAlignment="1">
      <alignment vertical="center"/>
      <protection/>
    </xf>
    <xf numFmtId="178" fontId="16" fillId="0" borderId="14" xfId="80" applyNumberFormat="1" applyFont="1" applyBorder="1" applyAlignment="1">
      <alignment horizontal="centerContinuous" vertical="center"/>
      <protection/>
    </xf>
    <xf numFmtId="41" fontId="16" fillId="0" borderId="15" xfId="51" applyFont="1" applyBorder="1" applyAlignment="1">
      <alignment horizontal="centerContinuous" vertical="center"/>
    </xf>
    <xf numFmtId="41" fontId="16" fillId="0" borderId="16" xfId="51" applyFont="1" applyBorder="1" applyAlignment="1">
      <alignment horizontal="centerContinuous" vertical="center"/>
    </xf>
    <xf numFmtId="41" fontId="16" fillId="0" borderId="17" xfId="51" applyFont="1" applyBorder="1" applyAlignment="1">
      <alignment horizontal="centerContinuous" vertical="center"/>
    </xf>
    <xf numFmtId="178" fontId="16" fillId="0" borderId="17" xfId="80" applyNumberFormat="1" applyFont="1" applyBorder="1" applyAlignment="1">
      <alignment horizontal="centerContinuous" vertical="center"/>
      <protection/>
    </xf>
    <xf numFmtId="41" fontId="16" fillId="0" borderId="18" xfId="51" applyFont="1" applyBorder="1" applyAlignment="1">
      <alignment horizontal="centerContinuous" vertical="center"/>
    </xf>
    <xf numFmtId="41" fontId="16" fillId="0" borderId="18" xfId="51" applyFont="1" applyBorder="1" applyAlignment="1">
      <alignment horizontal="center" vertical="center"/>
    </xf>
    <xf numFmtId="41" fontId="16" fillId="0" borderId="18" xfId="51" applyFont="1" applyBorder="1" applyAlignment="1">
      <alignment horizontal="right" vertical="center"/>
    </xf>
    <xf numFmtId="41" fontId="16" fillId="0" borderId="19" xfId="51" applyFont="1" applyBorder="1" applyAlignment="1">
      <alignment horizontal="center" vertical="center"/>
    </xf>
    <xf numFmtId="41" fontId="17" fillId="0" borderId="0" xfId="51" applyFont="1" applyBorder="1" applyAlignment="1">
      <alignment horizontal="center" vertical="center"/>
    </xf>
    <xf numFmtId="178" fontId="17" fillId="0" borderId="0" xfId="80" applyNumberFormat="1" applyFont="1" applyBorder="1" applyAlignment="1">
      <alignment horizontal="center" vertical="center"/>
      <protection/>
    </xf>
    <xf numFmtId="41" fontId="16" fillId="0" borderId="12" xfId="51" applyFont="1" applyBorder="1" applyAlignment="1">
      <alignment horizontal="center" vertical="center"/>
    </xf>
    <xf numFmtId="41" fontId="16" fillId="0" borderId="12" xfId="51" applyFont="1" applyBorder="1" applyAlignment="1">
      <alignment horizontal="right" vertical="center"/>
    </xf>
    <xf numFmtId="41" fontId="16" fillId="0" borderId="20" xfId="51" applyFont="1" applyBorder="1" applyAlignment="1">
      <alignment horizontal="right" vertical="center"/>
    </xf>
    <xf numFmtId="178" fontId="18" fillId="0" borderId="21" xfId="80" applyNumberFormat="1" applyFont="1" applyBorder="1" applyAlignment="1">
      <alignment horizontal="center"/>
      <protection/>
    </xf>
    <xf numFmtId="178" fontId="18" fillId="0" borderId="0" xfId="80" applyNumberFormat="1" applyFont="1" applyBorder="1" applyAlignment="1">
      <alignment horizontal="center"/>
      <protection/>
    </xf>
    <xf numFmtId="178" fontId="18" fillId="0" borderId="22" xfId="80" applyNumberFormat="1" applyFont="1" applyBorder="1" applyAlignment="1">
      <alignment horizontal="center"/>
      <protection/>
    </xf>
    <xf numFmtId="178" fontId="18" fillId="0" borderId="23" xfId="80" applyNumberFormat="1" applyFont="1" applyBorder="1" applyAlignment="1">
      <alignment horizontal="center"/>
      <protection/>
    </xf>
    <xf numFmtId="178" fontId="17" fillId="0" borderId="21" xfId="80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4" fillId="0" borderId="20" xfId="51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43" fontId="5" fillId="0" borderId="0" xfId="79" applyNumberFormat="1" applyFont="1" applyBorder="1" applyAlignment="1">
      <alignment vertical="center"/>
      <protection/>
    </xf>
    <xf numFmtId="0" fontId="5" fillId="0" borderId="12" xfId="79" applyFont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41" fontId="5" fillId="0" borderId="12" xfId="51" applyFont="1" applyFill="1" applyBorder="1" applyAlignment="1">
      <alignment vertical="center"/>
    </xf>
    <xf numFmtId="210" fontId="5" fillId="0" borderId="12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20" xfId="79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49" fontId="5" fillId="0" borderId="20" xfId="77" applyNumberFormat="1" applyFont="1" applyBorder="1" applyAlignment="1">
      <alignment horizontal="left" vertical="center"/>
      <protection/>
    </xf>
    <xf numFmtId="0" fontId="5" fillId="0" borderId="20" xfId="79" applyFont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1" fontId="4" fillId="0" borderId="12" xfId="51" applyFont="1" applyFill="1" applyBorder="1" applyAlignment="1">
      <alignment vertical="center"/>
    </xf>
    <xf numFmtId="0" fontId="6" fillId="0" borderId="20" xfId="79" applyFont="1" applyFill="1" applyBorder="1" applyAlignment="1">
      <alignment vertical="center"/>
      <protection/>
    </xf>
    <xf numFmtId="187" fontId="20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vertical="center"/>
    </xf>
    <xf numFmtId="187" fontId="4" fillId="0" borderId="0" xfId="51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 shrinkToFit="1"/>
    </xf>
    <xf numFmtId="187" fontId="24" fillId="0" borderId="0" xfId="0" applyNumberFormat="1" applyFont="1" applyBorder="1" applyAlignment="1">
      <alignment horizontal="left" vertical="center" wrapText="1" shrinkToFit="1"/>
    </xf>
    <xf numFmtId="187" fontId="1" fillId="0" borderId="0" xfId="0" applyNumberFormat="1" applyFont="1" applyBorder="1" applyAlignment="1">
      <alignment horizontal="left" vertical="center"/>
    </xf>
    <xf numFmtId="187" fontId="6" fillId="0" borderId="0" xfId="51" applyNumberFormat="1" applyFont="1" applyBorder="1" applyAlignment="1">
      <alignment horizontal="left" vertical="center"/>
    </xf>
    <xf numFmtId="0" fontId="5" fillId="0" borderId="12" xfId="78" applyFont="1" applyBorder="1" applyAlignment="1">
      <alignment horizontal="left" vertical="center" shrinkToFit="1"/>
      <protection/>
    </xf>
    <xf numFmtId="0" fontId="5" fillId="0" borderId="12" xfId="78" applyFont="1" applyBorder="1" applyAlignment="1">
      <alignment vertical="center"/>
      <protection/>
    </xf>
    <xf numFmtId="0" fontId="5" fillId="0" borderId="12" xfId="78" applyFont="1" applyBorder="1" applyAlignment="1">
      <alignment horizontal="center" vertical="center"/>
      <protection/>
    </xf>
    <xf numFmtId="0" fontId="5" fillId="0" borderId="0" xfId="79" applyFont="1" applyFill="1" applyBorder="1" applyAlignment="1">
      <alignment vertical="center"/>
      <protection/>
    </xf>
    <xf numFmtId="0" fontId="15" fillId="0" borderId="12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0" xfId="79" applyFont="1" applyFill="1" applyBorder="1" applyAlignment="1">
      <alignment horizontal="center" vertical="center"/>
      <protection/>
    </xf>
    <xf numFmtId="0" fontId="25" fillId="0" borderId="20" xfId="79" applyFont="1" applyBorder="1" applyAlignment="1">
      <alignment vertical="center"/>
      <protection/>
    </xf>
    <xf numFmtId="0" fontId="6" fillId="0" borderId="0" xfId="79" applyFont="1" applyFill="1" applyBorder="1" applyAlignment="1">
      <alignment vertical="center"/>
      <protection/>
    </xf>
    <xf numFmtId="206" fontId="5" fillId="0" borderId="12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6" fillId="0" borderId="20" xfId="78" applyFont="1" applyBorder="1" applyAlignment="1">
      <alignment horizontal="left" vertical="center" wrapText="1"/>
      <protection/>
    </xf>
    <xf numFmtId="41" fontId="5" fillId="0" borderId="12" xfId="51" applyFont="1" applyBorder="1" applyAlignment="1">
      <alignment horizontal="center" vertical="center"/>
    </xf>
    <xf numFmtId="0" fontId="5" fillId="0" borderId="13" xfId="78" applyFont="1" applyBorder="1" applyAlignment="1">
      <alignment vertical="center"/>
      <protection/>
    </xf>
    <xf numFmtId="0" fontId="5" fillId="0" borderId="13" xfId="78" applyFont="1" applyFill="1" applyBorder="1" applyAlignment="1">
      <alignment vertical="center"/>
      <protection/>
    </xf>
    <xf numFmtId="0" fontId="5" fillId="0" borderId="24" xfId="78" applyFont="1" applyBorder="1" applyAlignment="1">
      <alignment vertical="center"/>
      <protection/>
    </xf>
    <xf numFmtId="0" fontId="5" fillId="0" borderId="25" xfId="78" applyFont="1" applyBorder="1" applyAlignment="1">
      <alignment horizontal="left" vertical="center" shrinkToFit="1"/>
      <protection/>
    </xf>
    <xf numFmtId="0" fontId="5" fillId="0" borderId="25" xfId="78" applyFont="1" applyBorder="1" applyAlignment="1">
      <alignment vertical="center"/>
      <protection/>
    </xf>
    <xf numFmtId="0" fontId="5" fillId="0" borderId="25" xfId="78" applyFont="1" applyBorder="1" applyAlignment="1">
      <alignment horizontal="center" vertical="center"/>
      <protection/>
    </xf>
    <xf numFmtId="41" fontId="5" fillId="0" borderId="25" xfId="51" applyFont="1" applyBorder="1" applyAlignment="1">
      <alignment vertical="center"/>
    </xf>
    <xf numFmtId="0" fontId="5" fillId="0" borderId="26" xfId="79" applyFont="1" applyBorder="1" applyAlignment="1">
      <alignment vertical="center"/>
      <protection/>
    </xf>
    <xf numFmtId="41" fontId="1" fillId="0" borderId="25" xfId="0" applyNumberFormat="1" applyFont="1" applyBorder="1" applyAlignment="1">
      <alignment horizontal="left" vertical="center"/>
    </xf>
    <xf numFmtId="203" fontId="5" fillId="0" borderId="12" xfId="0" applyNumberFormat="1" applyFont="1" applyBorder="1" applyAlignment="1">
      <alignment horizontal="right" vertical="center"/>
    </xf>
    <xf numFmtId="187" fontId="5" fillId="0" borderId="0" xfId="51" applyNumberFormat="1" applyFont="1" applyFill="1" applyBorder="1" applyAlignment="1">
      <alignment horizontal="left" vertical="center"/>
    </xf>
    <xf numFmtId="0" fontId="50" fillId="0" borderId="0" xfId="75">
      <alignment vertical="center"/>
      <protection/>
    </xf>
    <xf numFmtId="0" fontId="67" fillId="0" borderId="13" xfId="75" applyFont="1" applyBorder="1" applyAlignment="1">
      <alignment horizontal="center" vertical="center"/>
      <protection/>
    </xf>
    <xf numFmtId="0" fontId="67" fillId="0" borderId="24" xfId="75" applyFont="1" applyBorder="1" applyAlignment="1">
      <alignment horizontal="center" vertical="center"/>
      <protection/>
    </xf>
    <xf numFmtId="0" fontId="67" fillId="0" borderId="26" xfId="75" applyFont="1" applyBorder="1" applyAlignment="1">
      <alignment horizontal="center" vertical="center"/>
      <protection/>
    </xf>
    <xf numFmtId="0" fontId="67" fillId="0" borderId="0" xfId="75" applyFont="1">
      <alignment vertical="center"/>
      <protection/>
    </xf>
    <xf numFmtId="214" fontId="67" fillId="0" borderId="12" xfId="75" applyNumberFormat="1" applyFont="1" applyBorder="1" applyAlignment="1">
      <alignment horizontal="center" vertical="center"/>
      <protection/>
    </xf>
    <xf numFmtId="215" fontId="67" fillId="0" borderId="12" xfId="75" applyNumberFormat="1" applyFont="1" applyBorder="1" applyAlignment="1">
      <alignment horizontal="center" vertical="center"/>
      <protection/>
    </xf>
    <xf numFmtId="3" fontId="67" fillId="0" borderId="12" xfId="75" applyNumberFormat="1" applyFont="1" applyBorder="1" applyAlignment="1">
      <alignment horizontal="center" vertical="center"/>
      <protection/>
    </xf>
    <xf numFmtId="11" fontId="67" fillId="0" borderId="20" xfId="75" applyNumberFormat="1" applyFont="1" applyBorder="1" applyAlignment="1">
      <alignment horizontal="center" vertical="center"/>
      <protection/>
    </xf>
    <xf numFmtId="216" fontId="67" fillId="0" borderId="12" xfId="75" applyNumberFormat="1" applyFont="1" applyBorder="1" applyAlignment="1">
      <alignment horizontal="center" vertical="center"/>
      <protection/>
    </xf>
    <xf numFmtId="217" fontId="67" fillId="0" borderId="12" xfId="75" applyNumberFormat="1" applyFont="1" applyBorder="1" applyAlignment="1">
      <alignment horizontal="center" vertical="center"/>
      <protection/>
    </xf>
    <xf numFmtId="0" fontId="67" fillId="0" borderId="25" xfId="75" applyFont="1" applyBorder="1" applyAlignment="1">
      <alignment horizontal="center" vertical="center"/>
      <protection/>
    </xf>
    <xf numFmtId="218" fontId="67" fillId="0" borderId="25" xfId="75" applyNumberFormat="1" applyFont="1" applyBorder="1" applyAlignment="1">
      <alignment horizontal="center" vertical="center"/>
      <protection/>
    </xf>
    <xf numFmtId="215" fontId="67" fillId="0" borderId="25" xfId="75" applyNumberFormat="1" applyFont="1" applyBorder="1" applyAlignment="1">
      <alignment horizontal="center" vertical="center"/>
      <protection/>
    </xf>
    <xf numFmtId="3" fontId="67" fillId="0" borderId="25" xfId="75" applyNumberFormat="1" applyFont="1" applyBorder="1" applyAlignment="1">
      <alignment horizontal="center" vertical="center"/>
      <protection/>
    </xf>
    <xf numFmtId="11" fontId="67" fillId="0" borderId="26" xfId="75" applyNumberFormat="1" applyFont="1" applyBorder="1" applyAlignment="1">
      <alignment horizontal="center" vertical="center"/>
      <protection/>
    </xf>
    <xf numFmtId="0" fontId="28" fillId="0" borderId="13" xfId="78" applyFont="1" applyBorder="1" applyAlignment="1">
      <alignment vertical="center"/>
      <protection/>
    </xf>
    <xf numFmtId="0" fontId="28" fillId="0" borderId="12" xfId="78" applyFont="1" applyBorder="1" applyAlignment="1">
      <alignment horizontal="center" vertical="center" shrinkToFit="1"/>
      <protection/>
    </xf>
    <xf numFmtId="0" fontId="28" fillId="0" borderId="12" xfId="78" applyFont="1" applyBorder="1" applyAlignment="1">
      <alignment vertical="center"/>
      <protection/>
    </xf>
    <xf numFmtId="0" fontId="28" fillId="0" borderId="12" xfId="78" applyFont="1" applyBorder="1" applyAlignment="1">
      <alignment horizontal="center" vertical="center"/>
      <protection/>
    </xf>
    <xf numFmtId="41" fontId="28" fillId="0" borderId="20" xfId="53" applyFont="1" applyBorder="1" applyAlignment="1">
      <alignment vertical="center"/>
    </xf>
    <xf numFmtId="0" fontId="0" fillId="0" borderId="0" xfId="76">
      <alignment/>
      <protection/>
    </xf>
    <xf numFmtId="0" fontId="28" fillId="0" borderId="24" xfId="78" applyFont="1" applyFill="1" applyBorder="1" applyAlignment="1">
      <alignment vertical="center"/>
      <protection/>
    </xf>
    <xf numFmtId="0" fontId="28" fillId="0" borderId="25" xfId="78" applyFont="1" applyBorder="1" applyAlignment="1">
      <alignment horizontal="center" vertical="center" shrinkToFit="1"/>
      <protection/>
    </xf>
    <xf numFmtId="0" fontId="28" fillId="0" borderId="25" xfId="78" applyFont="1" applyBorder="1" applyAlignment="1">
      <alignment vertical="center"/>
      <protection/>
    </xf>
    <xf numFmtId="0" fontId="28" fillId="0" borderId="25" xfId="78" applyFont="1" applyBorder="1" applyAlignment="1">
      <alignment horizontal="center" vertical="center"/>
      <protection/>
    </xf>
    <xf numFmtId="41" fontId="28" fillId="0" borderId="26" xfId="53" applyFont="1" applyBorder="1" applyAlignment="1">
      <alignment vertical="center"/>
    </xf>
    <xf numFmtId="0" fontId="68" fillId="0" borderId="27" xfId="75" applyFont="1" applyBorder="1" applyAlignment="1">
      <alignment vertical="center"/>
      <protection/>
    </xf>
    <xf numFmtId="0" fontId="68" fillId="0" borderId="18" xfId="75" applyFont="1" applyBorder="1" applyAlignment="1">
      <alignment vertical="center"/>
      <protection/>
    </xf>
    <xf numFmtId="0" fontId="68" fillId="0" borderId="19" xfId="75" applyFont="1" applyBorder="1" applyAlignment="1">
      <alignment vertical="center"/>
      <protection/>
    </xf>
    <xf numFmtId="0" fontId="28" fillId="0" borderId="12" xfId="78" applyFont="1" applyFill="1" applyBorder="1" applyAlignment="1">
      <alignment horizontal="center" vertical="center"/>
      <protection/>
    </xf>
    <xf numFmtId="0" fontId="69" fillId="0" borderId="12" xfId="75" applyFont="1" applyBorder="1" applyAlignment="1">
      <alignment horizontal="center" vertical="center"/>
      <protection/>
    </xf>
    <xf numFmtId="0" fontId="69" fillId="0" borderId="0" xfId="75" applyFont="1" applyAlignment="1">
      <alignment horizontal="center" vertical="center"/>
      <protection/>
    </xf>
    <xf numFmtId="0" fontId="69" fillId="0" borderId="25" xfId="75" applyFont="1" applyBorder="1" applyAlignment="1">
      <alignment horizontal="center" vertical="center"/>
      <protection/>
    </xf>
    <xf numFmtId="216" fontId="67" fillId="0" borderId="25" xfId="75" applyNumberFormat="1" applyFont="1" applyBorder="1" applyAlignment="1">
      <alignment horizontal="center" vertical="center"/>
      <protection/>
    </xf>
    <xf numFmtId="41" fontId="5" fillId="0" borderId="20" xfId="51" applyFont="1" applyBorder="1" applyAlignment="1">
      <alignment vertical="center"/>
    </xf>
    <xf numFmtId="0" fontId="6" fillId="0" borderId="20" xfId="51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shrinkToFit="1"/>
    </xf>
    <xf numFmtId="192" fontId="5" fillId="0" borderId="12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88" fontId="5" fillId="0" borderId="12" xfId="51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41" fontId="6" fillId="0" borderId="0" xfId="51" applyFont="1" applyFill="1" applyBorder="1" applyAlignment="1">
      <alignment vertical="center"/>
    </xf>
    <xf numFmtId="10" fontId="6" fillId="0" borderId="28" xfId="51" applyNumberFormat="1" applyFont="1" applyBorder="1" applyAlignment="1">
      <alignment vertical="center"/>
    </xf>
    <xf numFmtId="0" fontId="29" fillId="0" borderId="0" xfId="79" applyNumberFormat="1" applyFont="1" applyBorder="1" applyAlignment="1">
      <alignment horizontal="left" vertical="center"/>
      <protection/>
    </xf>
    <xf numFmtId="0" fontId="6" fillId="0" borderId="0" xfId="79" applyNumberFormat="1" applyFont="1" applyBorder="1" applyAlignment="1">
      <alignment vertical="center"/>
      <protection/>
    </xf>
    <xf numFmtId="0" fontId="6" fillId="0" borderId="0" xfId="79" applyNumberFormat="1" applyFont="1" applyFill="1" applyBorder="1" applyAlignment="1">
      <alignment vertical="center"/>
      <protection/>
    </xf>
    <xf numFmtId="0" fontId="6" fillId="0" borderId="0" xfId="46" applyNumberFormat="1" applyFont="1" applyBorder="1" applyAlignment="1">
      <alignment vertical="center"/>
    </xf>
    <xf numFmtId="0" fontId="29" fillId="0" borderId="0" xfId="79" applyNumberFormat="1" applyFont="1" applyBorder="1" applyAlignment="1">
      <alignment vertical="center"/>
      <protection/>
    </xf>
    <xf numFmtId="0" fontId="67" fillId="0" borderId="12" xfId="75" applyFont="1" applyBorder="1" applyAlignment="1">
      <alignment horizontal="center" vertical="center"/>
      <protection/>
    </xf>
    <xf numFmtId="0" fontId="67" fillId="0" borderId="20" xfId="75" applyFont="1" applyBorder="1" applyAlignment="1">
      <alignment horizontal="center" vertical="center"/>
      <protection/>
    </xf>
    <xf numFmtId="0" fontId="67" fillId="0" borderId="0" xfId="75" applyFont="1" applyBorder="1" applyAlignment="1">
      <alignment vertical="center"/>
      <protection/>
    </xf>
    <xf numFmtId="178" fontId="16" fillId="0" borderId="29" xfId="80" applyNumberFormat="1" applyFont="1" applyBorder="1" applyAlignment="1">
      <alignment horizontal="center" vertical="center"/>
      <protection/>
    </xf>
    <xf numFmtId="178" fontId="16" fillId="0" borderId="30" xfId="80" applyNumberFormat="1" applyFont="1" applyBorder="1" applyAlignment="1">
      <alignment horizontal="center" vertical="center"/>
      <protection/>
    </xf>
    <xf numFmtId="178" fontId="16" fillId="0" borderId="31" xfId="80" applyNumberFormat="1" applyFont="1" applyBorder="1" applyAlignment="1">
      <alignment horizontal="center" vertical="center"/>
      <protection/>
    </xf>
    <xf numFmtId="41" fontId="16" fillId="0" borderId="28" xfId="51" applyFont="1" applyBorder="1" applyAlignment="1">
      <alignment horizontal="center" vertical="center"/>
    </xf>
    <xf numFmtId="41" fontId="16" fillId="0" borderId="31" xfId="51" applyFont="1" applyBorder="1" applyAlignment="1">
      <alignment horizontal="center" vertical="center"/>
    </xf>
    <xf numFmtId="178" fontId="17" fillId="0" borderId="21" xfId="80" applyNumberFormat="1" applyFont="1" applyBorder="1" applyAlignment="1">
      <alignment horizontal="center" vertical="center"/>
      <protection/>
    </xf>
    <xf numFmtId="178" fontId="17" fillId="0" borderId="0" xfId="80" applyNumberFormat="1" applyFont="1" applyBorder="1" applyAlignment="1">
      <alignment horizontal="center" vertical="center"/>
      <protection/>
    </xf>
    <xf numFmtId="178" fontId="17" fillId="0" borderId="32" xfId="80" applyNumberFormat="1" applyFont="1" applyBorder="1" applyAlignment="1">
      <alignment horizontal="center" vertical="center"/>
      <protection/>
    </xf>
    <xf numFmtId="178" fontId="17" fillId="0" borderId="33" xfId="80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41" fontId="17" fillId="0" borderId="34" xfId="51" applyFont="1" applyBorder="1" applyAlignment="1">
      <alignment horizontal="center" vertical="center"/>
    </xf>
    <xf numFmtId="41" fontId="17" fillId="0" borderId="33" xfId="51" applyFont="1" applyBorder="1" applyAlignment="1">
      <alignment horizontal="center" vertical="center"/>
    </xf>
    <xf numFmtId="41" fontId="19" fillId="0" borderId="21" xfId="51" applyFont="1" applyBorder="1" applyAlignment="1">
      <alignment horizontal="left" vertical="top"/>
    </xf>
    <xf numFmtId="41" fontId="19" fillId="0" borderId="0" xfId="51" applyFont="1" applyBorder="1" applyAlignment="1">
      <alignment horizontal="left" vertical="top"/>
    </xf>
    <xf numFmtId="41" fontId="19" fillId="0" borderId="23" xfId="51" applyFont="1" applyBorder="1" applyAlignment="1">
      <alignment horizontal="left" vertical="top"/>
    </xf>
    <xf numFmtId="178" fontId="18" fillId="0" borderId="35" xfId="80" applyNumberFormat="1" applyFont="1" applyBorder="1" applyAlignment="1">
      <alignment/>
      <protection/>
    </xf>
    <xf numFmtId="178" fontId="18" fillId="0" borderId="36" xfId="80" applyNumberFormat="1" applyFont="1" applyBorder="1" applyAlignment="1">
      <alignment/>
      <protection/>
    </xf>
    <xf numFmtId="178" fontId="18" fillId="0" borderId="37" xfId="80" applyNumberFormat="1" applyFont="1" applyBorder="1" applyAlignment="1">
      <alignment/>
      <protection/>
    </xf>
    <xf numFmtId="178" fontId="18" fillId="0" borderId="21" xfId="80" applyNumberFormat="1" applyFont="1" applyBorder="1" applyAlignment="1">
      <alignment/>
      <protection/>
    </xf>
    <xf numFmtId="178" fontId="18" fillId="0" borderId="0" xfId="80" applyNumberFormat="1" applyFont="1" applyBorder="1" applyAlignment="1">
      <alignment/>
      <protection/>
    </xf>
    <xf numFmtId="178" fontId="18" fillId="0" borderId="23" xfId="80" applyNumberFormat="1" applyFont="1" applyBorder="1" applyAlignment="1">
      <alignment/>
      <protection/>
    </xf>
    <xf numFmtId="178" fontId="21" fillId="0" borderId="21" xfId="80" applyNumberFormat="1" applyFont="1" applyBorder="1" applyAlignment="1">
      <alignment horizontal="center" vertical="center"/>
      <protection/>
    </xf>
    <xf numFmtId="178" fontId="21" fillId="0" borderId="0" xfId="80" applyNumberFormat="1" applyFont="1" applyBorder="1" applyAlignment="1">
      <alignment horizontal="center" vertical="center"/>
      <protection/>
    </xf>
    <xf numFmtId="178" fontId="21" fillId="0" borderId="23" xfId="80" applyNumberFormat="1" applyFont="1" applyBorder="1" applyAlignment="1">
      <alignment horizontal="center" vertical="center"/>
      <protection/>
    </xf>
    <xf numFmtId="0" fontId="20" fillId="0" borderId="27" xfId="0" applyNumberFormat="1" applyFont="1" applyBorder="1" applyAlignment="1">
      <alignment horizontal="left" vertical="center"/>
    </xf>
    <xf numFmtId="0" fontId="20" fillId="0" borderId="18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0" fontId="5" fillId="0" borderId="13" xfId="79" applyFont="1" applyBorder="1" applyAlignment="1">
      <alignment horizontal="center" vertical="center"/>
      <protection/>
    </xf>
    <xf numFmtId="0" fontId="5" fillId="0" borderId="12" xfId="79" applyFont="1" applyBorder="1" applyAlignment="1">
      <alignment horizontal="center" vertical="center"/>
      <protection/>
    </xf>
    <xf numFmtId="41" fontId="5" fillId="0" borderId="12" xfId="5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5" fillId="0" borderId="20" xfId="5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5" fillId="0" borderId="18" xfId="51" applyFont="1" applyBorder="1" applyAlignment="1">
      <alignment horizontal="center" vertical="center"/>
    </xf>
    <xf numFmtId="0" fontId="4" fillId="0" borderId="13" xfId="77" applyFont="1" applyBorder="1" applyAlignment="1">
      <alignment vertical="center"/>
      <protection/>
    </xf>
    <xf numFmtId="0" fontId="4" fillId="0" borderId="12" xfId="77" applyFont="1" applyBorder="1" applyAlignment="1">
      <alignment vertical="center"/>
      <protection/>
    </xf>
    <xf numFmtId="0" fontId="4" fillId="0" borderId="20" xfId="77" applyFont="1" applyBorder="1" applyAlignment="1">
      <alignment vertical="center"/>
      <protection/>
    </xf>
    <xf numFmtId="0" fontId="5" fillId="0" borderId="18" xfId="79" applyFont="1" applyBorder="1" applyAlignment="1">
      <alignment horizontal="center" vertical="center"/>
      <protection/>
    </xf>
    <xf numFmtId="0" fontId="5" fillId="0" borderId="27" xfId="79" applyFont="1" applyBorder="1" applyAlignment="1">
      <alignment horizontal="center" vertical="center"/>
      <protection/>
    </xf>
    <xf numFmtId="41" fontId="5" fillId="0" borderId="19" xfId="51" applyFont="1" applyBorder="1" applyAlignment="1">
      <alignment horizontal="center" vertical="center"/>
    </xf>
    <xf numFmtId="0" fontId="69" fillId="0" borderId="21" xfId="75" applyFont="1" applyBorder="1" applyAlignment="1">
      <alignment horizontal="center" vertical="center"/>
      <protection/>
    </xf>
    <xf numFmtId="0" fontId="68" fillId="0" borderId="38" xfId="75" applyFont="1" applyBorder="1" applyAlignment="1">
      <alignment vertical="center"/>
      <protection/>
    </xf>
    <xf numFmtId="0" fontId="68" fillId="0" borderId="39" xfId="75" applyFont="1" applyBorder="1" applyAlignment="1">
      <alignment vertical="center"/>
      <protection/>
    </xf>
    <xf numFmtId="0" fontId="68" fillId="0" borderId="38" xfId="75" applyFont="1" applyBorder="1" applyAlignment="1">
      <alignment horizontal="left" vertical="center"/>
      <protection/>
    </xf>
    <xf numFmtId="0" fontId="68" fillId="0" borderId="40" xfId="75" applyFont="1" applyBorder="1" applyAlignment="1">
      <alignment horizontal="left" vertical="center"/>
      <protection/>
    </xf>
    <xf numFmtId="0" fontId="68" fillId="0" borderId="39" xfId="75" applyFont="1" applyBorder="1" applyAlignment="1">
      <alignment horizontal="left" vertical="center"/>
      <protection/>
    </xf>
    <xf numFmtId="0" fontId="67" fillId="0" borderId="28" xfId="75" applyFont="1" applyBorder="1" applyAlignment="1">
      <alignment horizontal="center" vertical="center"/>
      <protection/>
    </xf>
    <xf numFmtId="0" fontId="67" fillId="0" borderId="41" xfId="75" applyFont="1" applyBorder="1" applyAlignment="1">
      <alignment horizontal="center" vertical="center"/>
      <protection/>
    </xf>
    <xf numFmtId="0" fontId="27" fillId="0" borderId="38" xfId="78" applyFont="1" applyBorder="1" applyAlignment="1">
      <alignment vertical="center"/>
      <protection/>
    </xf>
    <xf numFmtId="0" fontId="27" fillId="0" borderId="40" xfId="78" applyFont="1" applyBorder="1" applyAlignment="1">
      <alignment vertical="center"/>
      <protection/>
    </xf>
    <xf numFmtId="0" fontId="27" fillId="0" borderId="39" xfId="78" applyFont="1" applyBorder="1" applyAlignment="1">
      <alignment vertical="center"/>
      <protection/>
    </xf>
    <xf numFmtId="0" fontId="69" fillId="0" borderId="0" xfId="75" applyFont="1" applyAlignment="1">
      <alignment horizontal="center" vertical="center" wrapText="1"/>
      <protection/>
    </xf>
    <xf numFmtId="3" fontId="67" fillId="0" borderId="12" xfId="75" applyNumberFormat="1" applyFont="1" applyBorder="1" applyAlignment="1" quotePrefix="1">
      <alignment horizontal="center" vertical="center"/>
      <protection/>
    </xf>
    <xf numFmtId="3" fontId="67" fillId="0" borderId="25" xfId="75" applyNumberFormat="1" applyFont="1" applyBorder="1" applyAlignment="1" quotePrefix="1">
      <alignment horizontal="center" vertical="center"/>
      <protection/>
    </xf>
    <xf numFmtId="3" fontId="67" fillId="0" borderId="0" xfId="75" applyNumberFormat="1" applyFont="1">
      <alignment vertical="center"/>
      <protection/>
    </xf>
    <xf numFmtId="3" fontId="0" fillId="0" borderId="0" xfId="76" applyNumberFormat="1">
      <alignment/>
      <protection/>
    </xf>
  </cellXfs>
  <cellStyles count="6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Ç¥ÁØ_ÀÏÀ§´ë°¡ (2)" xfId="33"/>
    <cellStyle name="Header1" xfId="34"/>
    <cellStyle name="Header2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2 2" xfId="53"/>
    <cellStyle name="쉼표 [0] 3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동부" xfId="66"/>
    <cellStyle name="콤마[ ]" xfId="67"/>
    <cellStyle name="콤마[*]" xfId="68"/>
    <cellStyle name="콤마[.]" xfId="69"/>
    <cellStyle name="콤마[0]" xfId="70"/>
    <cellStyle name="콤마_동부" xfId="71"/>
    <cellStyle name="Currency" xfId="72"/>
    <cellStyle name="Currency [0]" xfId="73"/>
    <cellStyle name="표준 2" xfId="74"/>
    <cellStyle name="표준 2 2" xfId="75"/>
    <cellStyle name="표준 2 2 2" xfId="76"/>
    <cellStyle name="표준_노측방호책일위(아스콘)-950기초지주450" xfId="77"/>
    <cellStyle name="표준_노측방호책일위(아스콘)-950기초지주450 2" xfId="78"/>
    <cellStyle name="표준_설계서-2" xfId="79"/>
    <cellStyle name="표준_우리꽃길조성사업" xfId="80"/>
    <cellStyle name="Hyperlink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2" sqref="K12"/>
    </sheetView>
  </sheetViews>
  <sheetFormatPr defaultColWidth="8.88671875" defaultRowHeight="24.75" customHeight="1"/>
  <cols>
    <col min="1" max="1" width="8.99609375" style="27" customWidth="1"/>
    <col min="2" max="2" width="3.77734375" style="26" customWidth="1"/>
    <col min="3" max="3" width="0.9921875" style="27" customWidth="1"/>
    <col min="4" max="4" width="8.21484375" style="26" customWidth="1"/>
    <col min="5" max="5" width="4.99609375" style="27" customWidth="1"/>
    <col min="6" max="6" width="3.21484375" style="26" customWidth="1"/>
    <col min="7" max="7" width="9.5546875" style="26" customWidth="1"/>
    <col min="8" max="8" width="3.21484375" style="26" customWidth="1"/>
    <col min="9" max="9" width="6.4453125" style="26" customWidth="1"/>
    <col min="10" max="10" width="15.5546875" style="26" customWidth="1"/>
    <col min="11" max="11" width="16.88671875" style="26" customWidth="1"/>
    <col min="12" max="12" width="14.77734375" style="26" customWidth="1"/>
    <col min="13" max="13" width="8.88671875" style="26" customWidth="1"/>
    <col min="14" max="16384" width="8.88671875" style="27" customWidth="1"/>
  </cols>
  <sheetData>
    <row r="1" spans="1:12" ht="24.75" customHeight="1">
      <c r="A1" s="17" t="s">
        <v>0</v>
      </c>
      <c r="B1" s="18"/>
      <c r="C1" s="19"/>
      <c r="D1" s="20" t="s">
        <v>10</v>
      </c>
      <c r="E1" s="21"/>
      <c r="F1" s="22" t="s">
        <v>1</v>
      </c>
      <c r="G1" s="22"/>
      <c r="H1" s="22" t="s">
        <v>2</v>
      </c>
      <c r="I1" s="20"/>
      <c r="J1" s="23" t="s">
        <v>3</v>
      </c>
      <c r="K1" s="24" t="s">
        <v>4</v>
      </c>
      <c r="L1" s="25" t="s">
        <v>11</v>
      </c>
    </row>
    <row r="2" spans="1:12" ht="24.75" customHeight="1">
      <c r="A2" s="154"/>
      <c r="B2" s="155"/>
      <c r="C2" s="156"/>
      <c r="D2" s="157"/>
      <c r="E2" s="158"/>
      <c r="F2" s="157"/>
      <c r="G2" s="158"/>
      <c r="H2" s="157"/>
      <c r="I2" s="158"/>
      <c r="J2" s="28" t="s">
        <v>5</v>
      </c>
      <c r="K2" s="29" t="s">
        <v>4</v>
      </c>
      <c r="L2" s="30" t="s">
        <v>12</v>
      </c>
    </row>
    <row r="3" spans="1:12" ht="47.25" customHeight="1">
      <c r="A3" s="169" t="s">
        <v>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1:12" ht="13.5" customHeight="1" thickBo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1:12" ht="13.5" customHeight="1" thickTop="1">
      <c r="A5" s="31"/>
      <c r="B5" s="32"/>
      <c r="C5" s="32"/>
      <c r="D5" s="32"/>
      <c r="E5" s="32"/>
      <c r="F5" s="32"/>
      <c r="G5" s="33"/>
      <c r="H5" s="33"/>
      <c r="I5" s="33"/>
      <c r="J5" s="33"/>
      <c r="K5" s="32"/>
      <c r="L5" s="34"/>
    </row>
    <row r="6" spans="1:13" ht="24" customHeight="1">
      <c r="A6" s="175" t="str">
        <f>일위대가!A1</f>
        <v>표 준 형  가 드 레 일 [3WAY] - 성토부 비탈면용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M6" s="27"/>
    </row>
    <row r="7" spans="1:12" ht="24.75" customHeight="1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1:12" ht="24.75" customHeight="1">
      <c r="A8" s="35"/>
      <c r="L8" s="36"/>
    </row>
    <row r="9" spans="1:12" ht="24.75" customHeight="1">
      <c r="A9" s="35"/>
      <c r="L9" s="36"/>
    </row>
    <row r="10" spans="1:12" ht="24.75" customHeight="1">
      <c r="A10" s="35"/>
      <c r="L10" s="36"/>
    </row>
    <row r="11" spans="1:12" ht="24.75" customHeight="1">
      <c r="A11" s="35"/>
      <c r="L11" s="36"/>
    </row>
    <row r="12" spans="1:12" ht="21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26" t="s">
        <v>8</v>
      </c>
      <c r="K12" s="26" t="s">
        <v>169</v>
      </c>
      <c r="L12" s="163"/>
    </row>
    <row r="13" spans="1:12" ht="21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27" t="s">
        <v>6</v>
      </c>
      <c r="K13" s="26" t="s">
        <v>103</v>
      </c>
      <c r="L13" s="163"/>
    </row>
    <row r="14" spans="1:12" ht="21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26" t="s">
        <v>7</v>
      </c>
      <c r="K14" s="26" t="s">
        <v>104</v>
      </c>
      <c r="L14" s="163"/>
    </row>
    <row r="15" spans="1:12" ht="21" customHeight="1">
      <c r="A15" s="159"/>
      <c r="B15" s="160"/>
      <c r="C15" s="160"/>
      <c r="D15" s="160"/>
      <c r="E15" s="160"/>
      <c r="F15" s="160"/>
      <c r="G15" s="160"/>
      <c r="H15" s="160"/>
      <c r="I15" s="160"/>
      <c r="J15" s="26" t="s">
        <v>9</v>
      </c>
      <c r="K15" s="26" t="s">
        <v>53</v>
      </c>
      <c r="L15" s="163"/>
    </row>
    <row r="16" spans="1:12" ht="21" customHeight="1">
      <c r="A16" s="159"/>
      <c r="B16" s="160"/>
      <c r="C16" s="160"/>
      <c r="D16" s="160"/>
      <c r="E16" s="160"/>
      <c r="F16" s="160"/>
      <c r="G16" s="160"/>
      <c r="H16" s="160"/>
      <c r="I16" s="160"/>
      <c r="L16" s="163"/>
    </row>
    <row r="17" spans="1:12" ht="23.2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5"/>
      <c r="K17" s="165"/>
      <c r="L17" s="164"/>
    </row>
  </sheetData>
  <sheetProtection/>
  <mergeCells count="10">
    <mergeCell ref="A2:C2"/>
    <mergeCell ref="D2:E2"/>
    <mergeCell ref="F2:G2"/>
    <mergeCell ref="H2:I2"/>
    <mergeCell ref="A12:I17"/>
    <mergeCell ref="L12:L17"/>
    <mergeCell ref="J17:K17"/>
    <mergeCell ref="A7:L7"/>
    <mergeCell ref="A3:L4"/>
    <mergeCell ref="A6:L6"/>
  </mergeCells>
  <printOptions/>
  <pageMargins left="0.92" right="0.59" top="1.24" bottom="0.35433070866141736" header="0.91" footer="0.2362204724409449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workbookViewId="0" topLeftCell="A1">
      <selection activeCell="C19" sqref="C19"/>
    </sheetView>
  </sheetViews>
  <sheetFormatPr defaultColWidth="7.10546875" defaultRowHeight="15" customHeight="1"/>
  <cols>
    <col min="1" max="1" width="14.77734375" style="3" customWidth="1"/>
    <col min="2" max="2" width="18.88671875" style="4" customWidth="1"/>
    <col min="3" max="3" width="6.5546875" style="3" customWidth="1"/>
    <col min="4" max="4" width="4.77734375" style="5" customWidth="1"/>
    <col min="5" max="5" width="9.77734375" style="144" customWidth="1"/>
    <col min="6" max="12" width="9.77734375" style="1" customWidth="1"/>
    <col min="13" max="13" width="30.77734375" style="1" customWidth="1"/>
    <col min="14" max="14" width="5.6640625" style="69" customWidth="1"/>
    <col min="15" max="15" width="7.3359375" style="147" bestFit="1" customWidth="1"/>
    <col min="16" max="16" width="4.99609375" style="147" bestFit="1" customWidth="1"/>
    <col min="17" max="17" width="7.10546875" style="147" bestFit="1" customWidth="1"/>
    <col min="18" max="18" width="6.5546875" style="147" bestFit="1" customWidth="1"/>
    <col min="19" max="16384" width="7.10546875" style="3" customWidth="1"/>
  </cols>
  <sheetData>
    <row r="1" spans="1:18" s="2" customFormat="1" ht="30" customHeight="1">
      <c r="A1" s="178" t="s">
        <v>105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  <c r="N1" s="60"/>
      <c r="O1" s="146"/>
      <c r="P1" s="146"/>
      <c r="Q1" s="146"/>
      <c r="R1" s="146"/>
    </row>
    <row r="2" spans="1:14" ht="24.75" customHeight="1">
      <c r="A2" s="181" t="s">
        <v>20</v>
      </c>
      <c r="B2" s="182" t="s">
        <v>21</v>
      </c>
      <c r="C2" s="182" t="s">
        <v>22</v>
      </c>
      <c r="D2" s="182" t="s">
        <v>23</v>
      </c>
      <c r="E2" s="183" t="s">
        <v>24</v>
      </c>
      <c r="F2" s="183"/>
      <c r="G2" s="183" t="s">
        <v>25</v>
      </c>
      <c r="H2" s="183"/>
      <c r="I2" s="183" t="s">
        <v>89</v>
      </c>
      <c r="J2" s="183"/>
      <c r="K2" s="183" t="s">
        <v>14</v>
      </c>
      <c r="L2" s="183"/>
      <c r="M2" s="188" t="s">
        <v>15</v>
      </c>
      <c r="N2" s="61"/>
    </row>
    <row r="3" spans="1:14" ht="24.75" customHeight="1">
      <c r="A3" s="181"/>
      <c r="B3" s="182"/>
      <c r="C3" s="182"/>
      <c r="D3" s="182"/>
      <c r="E3" s="82" t="s">
        <v>16</v>
      </c>
      <c r="F3" s="82" t="s">
        <v>17</v>
      </c>
      <c r="G3" s="82" t="s">
        <v>106</v>
      </c>
      <c r="H3" s="82" t="s">
        <v>17</v>
      </c>
      <c r="I3" s="82" t="s">
        <v>16</v>
      </c>
      <c r="J3" s="82" t="s">
        <v>17</v>
      </c>
      <c r="K3" s="82" t="s">
        <v>16</v>
      </c>
      <c r="L3" s="82" t="s">
        <v>17</v>
      </c>
      <c r="M3" s="188"/>
      <c r="N3" s="61"/>
    </row>
    <row r="4" spans="1:18" s="6" customFormat="1" ht="24.75" customHeight="1">
      <c r="A4" s="189" t="s">
        <v>107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62"/>
      <c r="O4" s="147"/>
      <c r="P4" s="147"/>
      <c r="Q4" s="147"/>
      <c r="R4" s="147"/>
    </row>
    <row r="5" spans="1:18" s="6" customFormat="1" ht="24.75" customHeight="1">
      <c r="A5" s="9" t="s">
        <v>108</v>
      </c>
      <c r="B5" s="131" t="s">
        <v>129</v>
      </c>
      <c r="C5" s="10">
        <v>1</v>
      </c>
      <c r="D5" s="11" t="s">
        <v>93</v>
      </c>
      <c r="E5" s="8">
        <v>60000</v>
      </c>
      <c r="F5" s="8">
        <f aca="true" t="shared" si="0" ref="F5:F12">INT(E5*C5)</f>
        <v>60000</v>
      </c>
      <c r="G5" s="8"/>
      <c r="H5" s="8"/>
      <c r="I5" s="8"/>
      <c r="J5" s="8"/>
      <c r="K5" s="8">
        <f aca="true" t="shared" si="1" ref="K5:L12">SUM(E5,G5,I5)</f>
        <v>60000</v>
      </c>
      <c r="L5" s="8">
        <f t="shared" si="1"/>
        <v>60000</v>
      </c>
      <c r="M5" s="145" t="s">
        <v>124</v>
      </c>
      <c r="N5" s="61"/>
      <c r="O5" s="147"/>
      <c r="P5" s="147"/>
      <c r="Q5" s="147"/>
      <c r="R5" s="147"/>
    </row>
    <row r="6" spans="1:18" s="73" customFormat="1" ht="24.75" customHeight="1">
      <c r="A6" s="9" t="s">
        <v>90</v>
      </c>
      <c r="B6" s="131" t="s">
        <v>125</v>
      </c>
      <c r="C6" s="10">
        <v>1</v>
      </c>
      <c r="D6" s="11" t="s">
        <v>109</v>
      </c>
      <c r="E6" s="8">
        <v>15000</v>
      </c>
      <c r="F6" s="8">
        <f>INT(E6*C6)</f>
        <v>15000</v>
      </c>
      <c r="G6" s="8"/>
      <c r="H6" s="8"/>
      <c r="I6" s="8"/>
      <c r="J6" s="8"/>
      <c r="K6" s="8">
        <f t="shared" si="1"/>
        <v>15000</v>
      </c>
      <c r="L6" s="8">
        <f>SUM(F6,H6,J6)</f>
        <v>15000</v>
      </c>
      <c r="M6" s="129"/>
      <c r="N6" s="93"/>
      <c r="O6" s="147"/>
      <c r="P6" s="148"/>
      <c r="Q6" s="148"/>
      <c r="R6" s="148"/>
    </row>
    <row r="7" spans="1:18" s="73" customFormat="1" ht="24.75" customHeight="1">
      <c r="A7" s="9" t="s">
        <v>94</v>
      </c>
      <c r="B7" s="131" t="s">
        <v>95</v>
      </c>
      <c r="C7" s="10">
        <v>0.5</v>
      </c>
      <c r="D7" s="11" t="s">
        <v>110</v>
      </c>
      <c r="E7" s="8">
        <v>147200</v>
      </c>
      <c r="F7" s="8">
        <f t="shared" si="0"/>
        <v>73600</v>
      </c>
      <c r="G7" s="8"/>
      <c r="H7" s="8"/>
      <c r="I7" s="8"/>
      <c r="J7" s="8"/>
      <c r="K7" s="8">
        <f t="shared" si="1"/>
        <v>147200</v>
      </c>
      <c r="L7" s="8">
        <f t="shared" si="1"/>
        <v>73600</v>
      </c>
      <c r="M7" s="145" t="s">
        <v>111</v>
      </c>
      <c r="N7" s="93"/>
      <c r="O7" s="147"/>
      <c r="P7" s="148"/>
      <c r="Q7" s="148"/>
      <c r="R7" s="148"/>
    </row>
    <row r="8" spans="1:18" s="73" customFormat="1" ht="24.75" customHeight="1">
      <c r="A8" s="9" t="s">
        <v>97</v>
      </c>
      <c r="B8" s="131" t="s">
        <v>130</v>
      </c>
      <c r="C8" s="10">
        <v>1</v>
      </c>
      <c r="D8" s="11" t="s">
        <v>96</v>
      </c>
      <c r="E8" s="8">
        <v>29200</v>
      </c>
      <c r="F8" s="8">
        <f t="shared" si="0"/>
        <v>29200</v>
      </c>
      <c r="G8" s="8"/>
      <c r="H8" s="8"/>
      <c r="I8" s="8"/>
      <c r="J8" s="8"/>
      <c r="K8" s="8">
        <f t="shared" si="1"/>
        <v>29200</v>
      </c>
      <c r="L8" s="8">
        <f t="shared" si="1"/>
        <v>29200</v>
      </c>
      <c r="M8" s="129"/>
      <c r="N8" s="93"/>
      <c r="O8" s="147"/>
      <c r="P8" s="148"/>
      <c r="Q8" s="148"/>
      <c r="R8" s="148"/>
    </row>
    <row r="9" spans="1:18" s="73" customFormat="1" ht="24.75" customHeight="1">
      <c r="A9" s="9" t="s">
        <v>98</v>
      </c>
      <c r="B9" s="131" t="s">
        <v>112</v>
      </c>
      <c r="C9" s="10">
        <v>1</v>
      </c>
      <c r="D9" s="11" t="s">
        <v>96</v>
      </c>
      <c r="E9" s="8">
        <v>2300</v>
      </c>
      <c r="F9" s="8">
        <f t="shared" si="0"/>
        <v>2300</v>
      </c>
      <c r="G9" s="8"/>
      <c r="H9" s="8"/>
      <c r="I9" s="8"/>
      <c r="J9" s="8"/>
      <c r="K9" s="8">
        <f t="shared" si="1"/>
        <v>2300</v>
      </c>
      <c r="L9" s="8">
        <f t="shared" si="1"/>
        <v>2300</v>
      </c>
      <c r="M9" s="129"/>
      <c r="N9" s="93"/>
      <c r="O9" s="148"/>
      <c r="P9" s="148"/>
      <c r="Q9" s="148"/>
      <c r="R9" s="148"/>
    </row>
    <row r="10" spans="1:18" s="73" customFormat="1" ht="24.75" customHeight="1">
      <c r="A10" s="9" t="s">
        <v>113</v>
      </c>
      <c r="B10" s="131" t="s">
        <v>131</v>
      </c>
      <c r="C10" s="10">
        <v>2</v>
      </c>
      <c r="D10" s="11" t="s">
        <v>91</v>
      </c>
      <c r="E10" s="8">
        <v>2100</v>
      </c>
      <c r="F10" s="8">
        <f>INT(E10*C10)</f>
        <v>4200</v>
      </c>
      <c r="G10" s="8"/>
      <c r="H10" s="8"/>
      <c r="I10" s="8"/>
      <c r="J10" s="8"/>
      <c r="K10" s="8">
        <f>SUM(E10,G10,I10)</f>
        <v>2100</v>
      </c>
      <c r="L10" s="8">
        <f>SUM(F10,H10,J10)</f>
        <v>4200</v>
      </c>
      <c r="M10" s="129"/>
      <c r="N10" s="93"/>
      <c r="O10" s="148"/>
      <c r="P10" s="148"/>
      <c r="Q10" s="148"/>
      <c r="R10" s="148"/>
    </row>
    <row r="11" spans="1:18" s="73" customFormat="1" ht="24.75" customHeight="1">
      <c r="A11" s="9" t="s">
        <v>114</v>
      </c>
      <c r="B11" s="131" t="s">
        <v>132</v>
      </c>
      <c r="C11" s="10">
        <v>4</v>
      </c>
      <c r="D11" s="11" t="s">
        <v>115</v>
      </c>
      <c r="E11" s="8">
        <v>1200</v>
      </c>
      <c r="F11" s="8">
        <f>INT(E11*C11)</f>
        <v>4800</v>
      </c>
      <c r="G11" s="8"/>
      <c r="H11" s="8"/>
      <c r="I11" s="8"/>
      <c r="J11" s="8"/>
      <c r="K11" s="8">
        <f t="shared" si="1"/>
        <v>1200</v>
      </c>
      <c r="L11" s="8">
        <f>SUM(F11,H11,J11)</f>
        <v>4800</v>
      </c>
      <c r="M11" s="130"/>
      <c r="N11" s="93"/>
      <c r="O11" s="148"/>
      <c r="P11" s="148"/>
      <c r="Q11" s="148"/>
      <c r="R11" s="148"/>
    </row>
    <row r="12" spans="1:18" s="6" customFormat="1" ht="24.75" customHeight="1">
      <c r="A12" s="9" t="s">
        <v>99</v>
      </c>
      <c r="B12" s="131" t="s">
        <v>133</v>
      </c>
      <c r="C12" s="10">
        <v>6</v>
      </c>
      <c r="D12" s="11" t="s">
        <v>91</v>
      </c>
      <c r="E12" s="8">
        <v>900</v>
      </c>
      <c r="F12" s="8">
        <f t="shared" si="0"/>
        <v>5400</v>
      </c>
      <c r="G12" s="8"/>
      <c r="H12" s="8"/>
      <c r="I12" s="8"/>
      <c r="J12" s="8"/>
      <c r="K12" s="8">
        <f t="shared" si="1"/>
        <v>900</v>
      </c>
      <c r="L12" s="8">
        <f t="shared" si="1"/>
        <v>5400</v>
      </c>
      <c r="M12" s="129"/>
      <c r="N12" s="63"/>
      <c r="O12" s="148"/>
      <c r="P12" s="147"/>
      <c r="Q12" s="147"/>
      <c r="R12" s="147"/>
    </row>
    <row r="13" spans="1:18" s="6" customFormat="1" ht="24.75" customHeight="1">
      <c r="A13" s="135" t="s">
        <v>92</v>
      </c>
      <c r="B13" s="133"/>
      <c r="C13" s="10"/>
      <c r="D13" s="11"/>
      <c r="E13" s="46"/>
      <c r="F13" s="13">
        <f>SUM(F5:F12)</f>
        <v>194500</v>
      </c>
      <c r="G13" s="8"/>
      <c r="H13" s="13">
        <f>SUM(H5:H12)</f>
        <v>0</v>
      </c>
      <c r="I13" s="8"/>
      <c r="J13" s="13">
        <f>SUM(J5:J12)</f>
        <v>0</v>
      </c>
      <c r="K13" s="8"/>
      <c r="L13" s="13">
        <f>SUM(F13,H13,J13)</f>
        <v>194500</v>
      </c>
      <c r="M13" s="81" t="str">
        <f>O13&amp;". 0"&amp;P13&amp;" "&amp;Q13&amp;" P."&amp;R13</f>
        <v>2022. 01 거래가격 P.266</v>
      </c>
      <c r="N13" s="64"/>
      <c r="O13" s="149">
        <f>base!D3</f>
        <v>2022</v>
      </c>
      <c r="P13" s="149">
        <v>1</v>
      </c>
      <c r="Q13" s="149" t="s">
        <v>142</v>
      </c>
      <c r="R13" s="149">
        <f>base!E3</f>
        <v>266</v>
      </c>
    </row>
    <row r="14" spans="1:19" s="6" customFormat="1" ht="24.75" customHeight="1">
      <c r="A14" s="132" t="s">
        <v>39</v>
      </c>
      <c r="B14" s="131" t="s">
        <v>39</v>
      </c>
      <c r="C14" s="137">
        <v>0.048</v>
      </c>
      <c r="D14" s="11" t="s">
        <v>18</v>
      </c>
      <c r="E14" s="142"/>
      <c r="F14" s="8"/>
      <c r="G14" s="8">
        <f>기본대가!L23</f>
        <v>187435</v>
      </c>
      <c r="H14" s="8">
        <f>INT(G14*C14)</f>
        <v>8996</v>
      </c>
      <c r="I14" s="8"/>
      <c r="J14" s="8"/>
      <c r="K14" s="8">
        <f aca="true" t="shared" si="2" ref="K14:K19">SUM(E14,G14,I14)</f>
        <v>187435</v>
      </c>
      <c r="L14" s="8">
        <f aca="true" t="shared" si="3" ref="L14:L21">SUM(F14,H14,J14)</f>
        <v>8996</v>
      </c>
      <c r="M14" s="81" t="str">
        <f>base!A3&amp;"년 건설공사표준품셈(대한건설협회) P."&amp;base!B3</f>
        <v>2022년 건설공사표준품셈(대한건설협회) P.795</v>
      </c>
      <c r="N14" s="65"/>
      <c r="O14" s="147"/>
      <c r="P14" s="147"/>
      <c r="Q14" s="147"/>
      <c r="R14" s="147"/>
      <c r="S14" s="41"/>
    </row>
    <row r="15" spans="1:18" s="6" customFormat="1" ht="24.75" customHeight="1">
      <c r="A15" s="132" t="s">
        <v>33</v>
      </c>
      <c r="B15" s="131" t="s">
        <v>33</v>
      </c>
      <c r="C15" s="137">
        <v>0.095</v>
      </c>
      <c r="D15" s="11" t="s">
        <v>102</v>
      </c>
      <c r="E15" s="142"/>
      <c r="F15" s="8"/>
      <c r="G15" s="8">
        <f>기본대가!L24</f>
        <v>148510</v>
      </c>
      <c r="H15" s="8">
        <f>INT(G15*C15)</f>
        <v>14108</v>
      </c>
      <c r="I15" s="8"/>
      <c r="J15" s="8"/>
      <c r="K15" s="8">
        <f t="shared" si="2"/>
        <v>148510</v>
      </c>
      <c r="L15" s="8">
        <f t="shared" si="3"/>
        <v>14108</v>
      </c>
      <c r="M15" s="81" t="str">
        <f>M14</f>
        <v>2022년 건설공사표준품셈(대한건설협회) P.795</v>
      </c>
      <c r="N15" s="65"/>
      <c r="O15" s="147"/>
      <c r="P15" s="147"/>
      <c r="Q15" s="147"/>
      <c r="R15" s="147"/>
    </row>
    <row r="16" spans="1:18" s="6" customFormat="1" ht="24.75" customHeight="1">
      <c r="A16" s="9" t="s">
        <v>31</v>
      </c>
      <c r="B16" s="131" t="s">
        <v>46</v>
      </c>
      <c r="C16" s="137">
        <v>0.076</v>
      </c>
      <c r="D16" s="11" t="s">
        <v>32</v>
      </c>
      <c r="E16" s="142">
        <f>기본대가!F9</f>
        <v>20843</v>
      </c>
      <c r="F16" s="8">
        <f>INT(E16*C16)</f>
        <v>1584</v>
      </c>
      <c r="G16" s="8">
        <f>기본대가!H9</f>
        <v>47849</v>
      </c>
      <c r="H16" s="8">
        <f>INT(G16*C16)</f>
        <v>3636</v>
      </c>
      <c r="I16" s="8">
        <f>기본대가!J9</f>
        <v>33324</v>
      </c>
      <c r="J16" s="8">
        <f>INT(I16*C16)</f>
        <v>2532</v>
      </c>
      <c r="K16" s="8">
        <f t="shared" si="2"/>
        <v>102016</v>
      </c>
      <c r="L16" s="8">
        <f t="shared" si="3"/>
        <v>7752</v>
      </c>
      <c r="M16" s="81" t="str">
        <f>M15</f>
        <v>2022년 건설공사표준품셈(대한건설협회) P.795</v>
      </c>
      <c r="N16" s="66"/>
      <c r="O16" s="147"/>
      <c r="P16" s="147"/>
      <c r="Q16" s="147"/>
      <c r="R16" s="147"/>
    </row>
    <row r="17" spans="1:18" s="6" customFormat="1" ht="24.75" customHeight="1">
      <c r="A17" s="9" t="s">
        <v>66</v>
      </c>
      <c r="B17" s="131" t="s">
        <v>55</v>
      </c>
      <c r="C17" s="137">
        <v>0.057</v>
      </c>
      <c r="D17" s="11" t="s">
        <v>32</v>
      </c>
      <c r="E17" s="142">
        <f>기본대가!F15</f>
        <v>5798</v>
      </c>
      <c r="F17" s="8">
        <f>INT(C17*E17)</f>
        <v>330</v>
      </c>
      <c r="G17" s="8">
        <f>기본대가!H15</f>
        <v>39645</v>
      </c>
      <c r="H17" s="8">
        <f>INT(G17*C17)</f>
        <v>2259</v>
      </c>
      <c r="I17" s="8">
        <f>기본대가!J15</f>
        <v>5965</v>
      </c>
      <c r="J17" s="8">
        <f>INT(C17*I17)</f>
        <v>340</v>
      </c>
      <c r="K17" s="8">
        <f t="shared" si="2"/>
        <v>51408</v>
      </c>
      <c r="L17" s="8">
        <f>SUM(F17,H17,J17)</f>
        <v>2929</v>
      </c>
      <c r="M17" s="81" t="str">
        <f>M16</f>
        <v>2022년 건설공사표준품셈(대한건설협회) P.795</v>
      </c>
      <c r="N17" s="66"/>
      <c r="O17" s="147"/>
      <c r="P17" s="147"/>
      <c r="Q17" s="147"/>
      <c r="R17" s="147"/>
    </row>
    <row r="18" spans="1:18" s="6" customFormat="1" ht="24.75" customHeight="1">
      <c r="A18" s="9" t="s">
        <v>60</v>
      </c>
      <c r="B18" s="131" t="s">
        <v>61</v>
      </c>
      <c r="C18" s="137">
        <v>0.076</v>
      </c>
      <c r="D18" s="11" t="s">
        <v>56</v>
      </c>
      <c r="E18" s="142">
        <f>기본대가!F21</f>
        <v>7726</v>
      </c>
      <c r="F18" s="8">
        <f>C18*E18</f>
        <v>587.1759999999999</v>
      </c>
      <c r="G18" s="8">
        <f>기본대가!H21</f>
        <v>29239.791666666664</v>
      </c>
      <c r="H18" s="8">
        <f>INT(G18*C18)</f>
        <v>2222</v>
      </c>
      <c r="I18" s="8">
        <f>기본대가!J21</f>
        <v>3090</v>
      </c>
      <c r="J18" s="8">
        <f>INT(C18*I18)</f>
        <v>234</v>
      </c>
      <c r="K18" s="8">
        <f t="shared" si="2"/>
        <v>40055.791666666664</v>
      </c>
      <c r="L18" s="8">
        <f>SUM(F18,H18,J18)</f>
        <v>3043.176</v>
      </c>
      <c r="M18" s="81" t="str">
        <f>M17</f>
        <v>2022년 건설공사표준품셈(대한건설협회) P.795</v>
      </c>
      <c r="N18" s="66"/>
      <c r="O18" s="147"/>
      <c r="P18" s="147"/>
      <c r="Q18" s="147"/>
      <c r="R18" s="147"/>
    </row>
    <row r="19" spans="1:18" s="6" customFormat="1" ht="24.75" customHeight="1">
      <c r="A19" s="9" t="s">
        <v>35</v>
      </c>
      <c r="B19" s="131" t="s">
        <v>38</v>
      </c>
      <c r="C19" s="134">
        <v>1</v>
      </c>
      <c r="D19" s="11" t="s">
        <v>36</v>
      </c>
      <c r="E19" s="46">
        <f>INT(SUM(H14:H15)*3%)</f>
        <v>693</v>
      </c>
      <c r="F19" s="8">
        <f>INT(E19*C19)</f>
        <v>693</v>
      </c>
      <c r="G19" s="8"/>
      <c r="H19" s="8"/>
      <c r="I19" s="42"/>
      <c r="J19" s="8"/>
      <c r="K19" s="8">
        <f t="shared" si="2"/>
        <v>693</v>
      </c>
      <c r="L19" s="8">
        <f t="shared" si="3"/>
        <v>693</v>
      </c>
      <c r="M19" s="136"/>
      <c r="N19" s="67"/>
      <c r="O19" s="147"/>
      <c r="P19" s="147"/>
      <c r="Q19" s="147"/>
      <c r="R19" s="147"/>
    </row>
    <row r="20" spans="1:18" s="6" customFormat="1" ht="24.75" customHeight="1">
      <c r="A20" s="135" t="s">
        <v>47</v>
      </c>
      <c r="B20" s="133"/>
      <c r="C20" s="10"/>
      <c r="D20" s="11"/>
      <c r="E20" s="46"/>
      <c r="F20" s="13">
        <f>SUM(F14:F19)</f>
        <v>3194.176</v>
      </c>
      <c r="G20" s="8"/>
      <c r="H20" s="13">
        <f>SUM(H14:H19)</f>
        <v>31221</v>
      </c>
      <c r="I20" s="8"/>
      <c r="J20" s="13">
        <f>SUM(J14:J19)</f>
        <v>3106</v>
      </c>
      <c r="K20" s="8"/>
      <c r="L20" s="13">
        <f t="shared" si="3"/>
        <v>37521.176</v>
      </c>
      <c r="M20" s="39"/>
      <c r="N20" s="64"/>
      <c r="O20" s="147"/>
      <c r="P20" s="147"/>
      <c r="Q20" s="147"/>
      <c r="R20" s="147"/>
    </row>
    <row r="21" spans="1:18" s="6" customFormat="1" ht="24.75" customHeight="1">
      <c r="A21" s="135" t="s">
        <v>37</v>
      </c>
      <c r="B21" s="133"/>
      <c r="C21" s="10"/>
      <c r="D21" s="11"/>
      <c r="E21" s="46"/>
      <c r="F21" s="13">
        <f>SUM(F13,F20)</f>
        <v>197694.176</v>
      </c>
      <c r="G21" s="8"/>
      <c r="H21" s="13">
        <f>SUM(H13,H20)</f>
        <v>31221</v>
      </c>
      <c r="I21" s="8"/>
      <c r="J21" s="13">
        <f>SUM(J13,J20)</f>
        <v>3106</v>
      </c>
      <c r="K21" s="8"/>
      <c r="L21" s="13">
        <f t="shared" si="3"/>
        <v>232021.176</v>
      </c>
      <c r="M21" s="39"/>
      <c r="N21" s="64"/>
      <c r="O21" s="147"/>
      <c r="P21" s="147"/>
      <c r="Q21" s="147"/>
      <c r="R21" s="147"/>
    </row>
    <row r="22" spans="1:18" s="7" customFormat="1" ht="24.75" customHeight="1">
      <c r="A22" s="138"/>
      <c r="B22" s="139" t="s">
        <v>19</v>
      </c>
      <c r="C22" s="184">
        <f>L21</f>
        <v>232021.176</v>
      </c>
      <c r="D22" s="184"/>
      <c r="E22" s="143" t="s">
        <v>100</v>
      </c>
      <c r="F22" s="91">
        <f>ROUNDUP(L21/2,0)</f>
        <v>116011</v>
      </c>
      <c r="G22" s="140"/>
      <c r="H22" s="140"/>
      <c r="I22" s="140"/>
      <c r="J22" s="140"/>
      <c r="K22" s="140"/>
      <c r="L22" s="140"/>
      <c r="M22" s="141"/>
      <c r="N22" s="68"/>
      <c r="O22" s="147"/>
      <c r="P22" s="150"/>
      <c r="Q22" s="150"/>
      <c r="R22" s="150"/>
    </row>
    <row r="23" spans="1:18" s="6" customFormat="1" ht="24.75" customHeight="1">
      <c r="A23" s="185" t="s">
        <v>116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62"/>
      <c r="O23" s="147"/>
      <c r="P23" s="147"/>
      <c r="Q23" s="147"/>
      <c r="R23" s="147"/>
    </row>
    <row r="24" spans="1:18" s="6" customFormat="1" ht="24.75" customHeight="1">
      <c r="A24" s="9" t="s">
        <v>52</v>
      </c>
      <c r="B24" s="131" t="str">
        <f>B5</f>
        <v>Φ139.8×4.3t×2100</v>
      </c>
      <c r="C24" s="10">
        <v>0.5</v>
      </c>
      <c r="D24" s="11" t="s">
        <v>93</v>
      </c>
      <c r="E24" s="8">
        <f>E5</f>
        <v>60000</v>
      </c>
      <c r="F24" s="8">
        <f aca="true" t="shared" si="4" ref="F24:F31">INT(E24*C24)</f>
        <v>30000</v>
      </c>
      <c r="G24" s="8"/>
      <c r="H24" s="8"/>
      <c r="I24" s="8"/>
      <c r="J24" s="8"/>
      <c r="K24" s="8">
        <f aca="true" t="shared" si="5" ref="K24:L31">SUM(E24,G24,I24)</f>
        <v>60000</v>
      </c>
      <c r="L24" s="8">
        <f t="shared" si="5"/>
        <v>30000</v>
      </c>
      <c r="M24" s="129"/>
      <c r="N24" s="61"/>
      <c r="O24" s="147"/>
      <c r="P24" s="147"/>
      <c r="Q24" s="147"/>
      <c r="R24" s="147"/>
    </row>
    <row r="25" spans="1:18" s="73" customFormat="1" ht="24.75" customHeight="1">
      <c r="A25" s="9" t="s">
        <v>117</v>
      </c>
      <c r="B25" s="131" t="str">
        <f>B6</f>
        <v>Φ114.3×4.3t×500</v>
      </c>
      <c r="C25" s="10">
        <v>0.5</v>
      </c>
      <c r="D25" s="11" t="s">
        <v>93</v>
      </c>
      <c r="E25" s="8">
        <f>E6</f>
        <v>15000</v>
      </c>
      <c r="F25" s="8">
        <f>INT(E25*C25)</f>
        <v>7500</v>
      </c>
      <c r="G25" s="8"/>
      <c r="H25" s="8"/>
      <c r="I25" s="8"/>
      <c r="J25" s="8"/>
      <c r="K25" s="8">
        <f t="shared" si="5"/>
        <v>15000</v>
      </c>
      <c r="L25" s="8">
        <f>SUM(F25,H25,J25)</f>
        <v>7500</v>
      </c>
      <c r="M25" s="129"/>
      <c r="N25" s="93"/>
      <c r="O25" s="147"/>
      <c r="P25" s="148"/>
      <c r="Q25" s="148"/>
      <c r="R25" s="148"/>
    </row>
    <row r="26" spans="1:18" s="73" customFormat="1" ht="24.75" customHeight="1">
      <c r="A26" s="9" t="s">
        <v>118</v>
      </c>
      <c r="B26" s="131" t="str">
        <f>B9</f>
        <v>Φ139.8</v>
      </c>
      <c r="C26" s="10">
        <v>0.5</v>
      </c>
      <c r="D26" s="11" t="s">
        <v>119</v>
      </c>
      <c r="E26" s="8">
        <f>E9</f>
        <v>2300</v>
      </c>
      <c r="F26" s="8">
        <f t="shared" si="4"/>
        <v>1150</v>
      </c>
      <c r="G26" s="8"/>
      <c r="H26" s="8"/>
      <c r="I26" s="8"/>
      <c r="J26" s="8"/>
      <c r="K26" s="8">
        <f t="shared" si="5"/>
        <v>2300</v>
      </c>
      <c r="L26" s="8">
        <f t="shared" si="5"/>
        <v>1150</v>
      </c>
      <c r="M26" s="129"/>
      <c r="N26" s="93"/>
      <c r="O26" s="147"/>
      <c r="P26" s="148"/>
      <c r="Q26" s="148"/>
      <c r="R26" s="148"/>
    </row>
    <row r="27" spans="1:18" s="73" customFormat="1" ht="24.75" customHeight="1">
      <c r="A27" s="9" t="s">
        <v>120</v>
      </c>
      <c r="B27" s="131" t="str">
        <f>B8</f>
        <v>260×4.0t×245</v>
      </c>
      <c r="C27" s="10">
        <v>0.5</v>
      </c>
      <c r="D27" s="11" t="s">
        <v>119</v>
      </c>
      <c r="E27" s="8">
        <f>E8</f>
        <v>29200</v>
      </c>
      <c r="F27" s="8">
        <f t="shared" si="4"/>
        <v>14600</v>
      </c>
      <c r="G27" s="8"/>
      <c r="H27" s="8"/>
      <c r="I27" s="8"/>
      <c r="J27" s="8"/>
      <c r="K27" s="8">
        <f t="shared" si="5"/>
        <v>29200</v>
      </c>
      <c r="L27" s="8">
        <f t="shared" si="5"/>
        <v>14600</v>
      </c>
      <c r="M27" s="129"/>
      <c r="N27" s="93"/>
      <c r="O27" s="147"/>
      <c r="P27" s="148"/>
      <c r="Q27" s="148"/>
      <c r="R27" s="148"/>
    </row>
    <row r="28" spans="1:18" s="73" customFormat="1" ht="24.75" customHeight="1">
      <c r="A28" s="9" t="s">
        <v>121</v>
      </c>
      <c r="B28" s="131" t="s">
        <v>134</v>
      </c>
      <c r="C28" s="10">
        <v>1</v>
      </c>
      <c r="D28" s="11" t="s">
        <v>122</v>
      </c>
      <c r="E28" s="8">
        <v>103000</v>
      </c>
      <c r="F28" s="8">
        <f t="shared" si="4"/>
        <v>103000</v>
      </c>
      <c r="G28" s="8"/>
      <c r="H28" s="8"/>
      <c r="I28" s="8"/>
      <c r="J28" s="8"/>
      <c r="K28" s="8">
        <f t="shared" si="5"/>
        <v>103000</v>
      </c>
      <c r="L28" s="8">
        <f t="shared" si="5"/>
        <v>103000</v>
      </c>
      <c r="M28" s="145" t="s">
        <v>111</v>
      </c>
      <c r="N28" s="93"/>
      <c r="O28" s="148"/>
      <c r="P28" s="148"/>
      <c r="Q28" s="148"/>
      <c r="R28" s="148"/>
    </row>
    <row r="29" spans="1:18" s="73" customFormat="1" ht="24.75" customHeight="1">
      <c r="A29" s="9" t="str">
        <f aca="true" t="shared" si="6" ref="A29:B31">A10</f>
        <v>블럭아웃고정볼트</v>
      </c>
      <c r="B29" s="131" t="str">
        <f t="shared" si="6"/>
        <v>M19×180</v>
      </c>
      <c r="C29" s="10">
        <v>1</v>
      </c>
      <c r="D29" s="11" t="s">
        <v>123</v>
      </c>
      <c r="E29" s="8">
        <f>E10</f>
        <v>2100</v>
      </c>
      <c r="F29" s="8">
        <f t="shared" si="4"/>
        <v>2100</v>
      </c>
      <c r="G29" s="8"/>
      <c r="H29" s="8"/>
      <c r="I29" s="8"/>
      <c r="J29" s="8"/>
      <c r="K29" s="8">
        <f t="shared" si="5"/>
        <v>2100</v>
      </c>
      <c r="L29" s="8">
        <f t="shared" si="5"/>
        <v>2100</v>
      </c>
      <c r="M29" s="129"/>
      <c r="N29" s="93"/>
      <c r="O29" s="148"/>
      <c r="P29" s="148"/>
      <c r="Q29" s="148"/>
      <c r="R29" s="148"/>
    </row>
    <row r="30" spans="1:18" s="73" customFormat="1" ht="24.75" customHeight="1">
      <c r="A30" s="9" t="str">
        <f t="shared" si="6"/>
        <v>고정볼트</v>
      </c>
      <c r="B30" s="131" t="str">
        <f t="shared" si="6"/>
        <v>M18×50</v>
      </c>
      <c r="C30" s="10">
        <v>2</v>
      </c>
      <c r="D30" s="11" t="s">
        <v>123</v>
      </c>
      <c r="E30" s="8">
        <f>E11</f>
        <v>1200</v>
      </c>
      <c r="F30" s="8">
        <f>INT(E30*C30)</f>
        <v>2400</v>
      </c>
      <c r="G30" s="8"/>
      <c r="H30" s="8"/>
      <c r="I30" s="8"/>
      <c r="J30" s="8"/>
      <c r="K30" s="8">
        <f t="shared" si="5"/>
        <v>1200</v>
      </c>
      <c r="L30" s="8">
        <f>SUM(F30,H30,J30)</f>
        <v>2400</v>
      </c>
      <c r="M30" s="129"/>
      <c r="N30" s="93"/>
      <c r="O30" s="148"/>
      <c r="P30" s="148"/>
      <c r="Q30" s="148"/>
      <c r="R30" s="148"/>
    </row>
    <row r="31" spans="1:18" s="6" customFormat="1" ht="24.75" customHeight="1">
      <c r="A31" s="9" t="str">
        <f t="shared" si="6"/>
        <v>레일연결볼트</v>
      </c>
      <c r="B31" s="131" t="str">
        <f t="shared" si="6"/>
        <v>M16×33</v>
      </c>
      <c r="C31" s="10">
        <v>2</v>
      </c>
      <c r="D31" s="11" t="s">
        <v>123</v>
      </c>
      <c r="E31" s="8">
        <f>E12</f>
        <v>900</v>
      </c>
      <c r="F31" s="8">
        <f t="shared" si="4"/>
        <v>1800</v>
      </c>
      <c r="G31" s="8"/>
      <c r="H31" s="8"/>
      <c r="I31" s="8"/>
      <c r="J31" s="8"/>
      <c r="K31" s="8">
        <f t="shared" si="5"/>
        <v>900</v>
      </c>
      <c r="L31" s="8">
        <f t="shared" si="5"/>
        <v>1800</v>
      </c>
      <c r="M31" s="129"/>
      <c r="N31" s="63"/>
      <c r="O31" s="148"/>
      <c r="P31" s="147"/>
      <c r="Q31" s="147"/>
      <c r="R31" s="147"/>
    </row>
    <row r="32" spans="1:18" s="6" customFormat="1" ht="24.75" customHeight="1">
      <c r="A32" s="135" t="s">
        <v>92</v>
      </c>
      <c r="B32" s="133"/>
      <c r="C32" s="10"/>
      <c r="D32" s="11"/>
      <c r="E32" s="46"/>
      <c r="F32" s="13">
        <f>SUM(F24:F31)</f>
        <v>162550</v>
      </c>
      <c r="G32" s="8"/>
      <c r="H32" s="13">
        <f>SUM(H24:H31)</f>
        <v>0</v>
      </c>
      <c r="I32" s="8"/>
      <c r="J32" s="13">
        <f>SUM(J24:J31)</f>
        <v>0</v>
      </c>
      <c r="K32" s="8"/>
      <c r="L32" s="13">
        <f aca="true" t="shared" si="7" ref="L32:L40">SUM(F32,H32,J32)</f>
        <v>162550</v>
      </c>
      <c r="M32" s="81"/>
      <c r="N32" s="64"/>
      <c r="O32" s="149"/>
      <c r="P32" s="147"/>
      <c r="Q32" s="147"/>
      <c r="R32" s="147"/>
    </row>
    <row r="33" spans="1:19" s="6" customFormat="1" ht="24.75" customHeight="1">
      <c r="A33" s="132" t="s">
        <v>39</v>
      </c>
      <c r="B33" s="131" t="s">
        <v>39</v>
      </c>
      <c r="C33" s="92">
        <f>$C14*50%</f>
        <v>0.024</v>
      </c>
      <c r="D33" s="11" t="s">
        <v>18</v>
      </c>
      <c r="E33" s="142"/>
      <c r="F33" s="8"/>
      <c r="G33" s="8">
        <f>G14</f>
        <v>187435</v>
      </c>
      <c r="H33" s="8">
        <f>INT(G33*C33)</f>
        <v>4498</v>
      </c>
      <c r="I33" s="8"/>
      <c r="J33" s="8"/>
      <c r="K33" s="8">
        <f aca="true" t="shared" si="8" ref="K33:K38">SUM(E33,G33,I33)</f>
        <v>187435</v>
      </c>
      <c r="L33" s="8">
        <f t="shared" si="7"/>
        <v>4498</v>
      </c>
      <c r="M33" s="81" t="s">
        <v>143</v>
      </c>
      <c r="N33" s="65"/>
      <c r="O33" s="147"/>
      <c r="P33" s="147"/>
      <c r="Q33" s="147"/>
      <c r="R33" s="147"/>
      <c r="S33" s="41"/>
    </row>
    <row r="34" spans="1:18" s="6" customFormat="1" ht="24.75" customHeight="1">
      <c r="A34" s="132" t="s">
        <v>33</v>
      </c>
      <c r="B34" s="131" t="s">
        <v>33</v>
      </c>
      <c r="C34" s="92">
        <f>$C15*50%</f>
        <v>0.0475</v>
      </c>
      <c r="D34" s="11" t="s">
        <v>102</v>
      </c>
      <c r="E34" s="142"/>
      <c r="F34" s="8"/>
      <c r="G34" s="8">
        <f>G15</f>
        <v>148510</v>
      </c>
      <c r="H34" s="8">
        <f>INT(G34*C34)</f>
        <v>7054</v>
      </c>
      <c r="I34" s="8"/>
      <c r="J34" s="8"/>
      <c r="K34" s="8">
        <f t="shared" si="8"/>
        <v>148510</v>
      </c>
      <c r="L34" s="8">
        <f t="shared" si="7"/>
        <v>7054</v>
      </c>
      <c r="M34" s="81" t="str">
        <f>M33</f>
        <v>표준구간의 50%</v>
      </c>
      <c r="N34" s="65"/>
      <c r="O34" s="147"/>
      <c r="P34" s="147"/>
      <c r="Q34" s="147"/>
      <c r="R34" s="147"/>
    </row>
    <row r="35" spans="1:18" s="6" customFormat="1" ht="24.75" customHeight="1">
      <c r="A35" s="9" t="s">
        <v>31</v>
      </c>
      <c r="B35" s="131" t="s">
        <v>46</v>
      </c>
      <c r="C35" s="92">
        <f>$C16*50%</f>
        <v>0.038</v>
      </c>
      <c r="D35" s="11" t="s">
        <v>32</v>
      </c>
      <c r="E35" s="142">
        <f>E16</f>
        <v>20843</v>
      </c>
      <c r="F35" s="8">
        <f>INT(E35*C35)</f>
        <v>792</v>
      </c>
      <c r="G35" s="12">
        <f>G16</f>
        <v>47849</v>
      </c>
      <c r="H35" s="8">
        <f>INT(G35*C35)</f>
        <v>1818</v>
      </c>
      <c r="I35" s="12">
        <f>I16</f>
        <v>33324</v>
      </c>
      <c r="J35" s="8">
        <f>INT(I35*C35)</f>
        <v>1266</v>
      </c>
      <c r="K35" s="8">
        <f t="shared" si="8"/>
        <v>102016</v>
      </c>
      <c r="L35" s="8">
        <f t="shared" si="7"/>
        <v>3876</v>
      </c>
      <c r="M35" s="81" t="str">
        <f>M34</f>
        <v>표준구간의 50%</v>
      </c>
      <c r="N35" s="66"/>
      <c r="O35" s="147"/>
      <c r="P35" s="147"/>
      <c r="Q35" s="147"/>
      <c r="R35" s="147"/>
    </row>
    <row r="36" spans="1:18" s="6" customFormat="1" ht="24.75" customHeight="1">
      <c r="A36" s="9" t="s">
        <v>66</v>
      </c>
      <c r="B36" s="131" t="s">
        <v>55</v>
      </c>
      <c r="C36" s="137">
        <f>$C17*50%</f>
        <v>0.0285</v>
      </c>
      <c r="D36" s="11" t="s">
        <v>32</v>
      </c>
      <c r="E36" s="142">
        <f>E17</f>
        <v>5798</v>
      </c>
      <c r="F36" s="8">
        <f>INT(C36*E36)</f>
        <v>165</v>
      </c>
      <c r="G36" s="12">
        <f>G17</f>
        <v>39645</v>
      </c>
      <c r="H36" s="8">
        <f>INT(G36*C36)</f>
        <v>1129</v>
      </c>
      <c r="I36" s="12">
        <f>I17</f>
        <v>5965</v>
      </c>
      <c r="J36" s="8">
        <f>INT(C36*I36)</f>
        <v>170</v>
      </c>
      <c r="K36" s="8">
        <f t="shared" si="8"/>
        <v>51408</v>
      </c>
      <c r="L36" s="8">
        <f t="shared" si="7"/>
        <v>1464</v>
      </c>
      <c r="M36" s="81" t="str">
        <f>M35</f>
        <v>표준구간의 50%</v>
      </c>
      <c r="N36" s="66"/>
      <c r="O36" s="147"/>
      <c r="P36" s="147"/>
      <c r="Q36" s="147"/>
      <c r="R36" s="147"/>
    </row>
    <row r="37" spans="1:18" s="6" customFormat="1" ht="24.75" customHeight="1">
      <c r="A37" s="9" t="s">
        <v>60</v>
      </c>
      <c r="B37" s="131" t="s">
        <v>61</v>
      </c>
      <c r="C37" s="137">
        <f>$C18*50%</f>
        <v>0.038</v>
      </c>
      <c r="D37" s="11" t="s">
        <v>56</v>
      </c>
      <c r="E37" s="142">
        <f>E18</f>
        <v>7726</v>
      </c>
      <c r="F37" s="8">
        <f>C37*E37</f>
        <v>293.58799999999997</v>
      </c>
      <c r="G37" s="12">
        <f>G18</f>
        <v>29239.791666666664</v>
      </c>
      <c r="H37" s="8">
        <f>INT(G37*C37)</f>
        <v>1111</v>
      </c>
      <c r="I37" s="12">
        <f>I18</f>
        <v>3090</v>
      </c>
      <c r="J37" s="8">
        <f>INT(C37*I37)</f>
        <v>117</v>
      </c>
      <c r="K37" s="8">
        <f t="shared" si="8"/>
        <v>40055.791666666664</v>
      </c>
      <c r="L37" s="8">
        <f t="shared" si="7"/>
        <v>1521.588</v>
      </c>
      <c r="M37" s="81" t="str">
        <f>M36</f>
        <v>표준구간의 50%</v>
      </c>
      <c r="N37" s="66"/>
      <c r="O37" s="147"/>
      <c r="P37" s="147"/>
      <c r="Q37" s="147"/>
      <c r="R37" s="147"/>
    </row>
    <row r="38" spans="1:18" s="6" customFormat="1" ht="24.75" customHeight="1">
      <c r="A38" s="9" t="s">
        <v>35</v>
      </c>
      <c r="B38" s="131" t="s">
        <v>38</v>
      </c>
      <c r="C38" s="134">
        <v>1</v>
      </c>
      <c r="D38" s="11" t="s">
        <v>34</v>
      </c>
      <c r="E38" s="46">
        <f>INT(SUM(H33:H34)*3%)</f>
        <v>346</v>
      </c>
      <c r="F38" s="8">
        <f>INT(E38*C38)</f>
        <v>346</v>
      </c>
      <c r="G38" s="8"/>
      <c r="H38" s="8"/>
      <c r="I38" s="42"/>
      <c r="J38" s="8"/>
      <c r="K38" s="8">
        <f t="shared" si="8"/>
        <v>346</v>
      </c>
      <c r="L38" s="8">
        <f t="shared" si="7"/>
        <v>346</v>
      </c>
      <c r="M38" s="136"/>
      <c r="N38" s="67"/>
      <c r="O38" s="147"/>
      <c r="P38" s="147"/>
      <c r="Q38" s="147"/>
      <c r="R38" s="147"/>
    </row>
    <row r="39" spans="1:18" s="6" customFormat="1" ht="24.75" customHeight="1">
      <c r="A39" s="135" t="s">
        <v>47</v>
      </c>
      <c r="B39" s="133"/>
      <c r="C39" s="10"/>
      <c r="D39" s="11"/>
      <c r="E39" s="46"/>
      <c r="F39" s="13">
        <f>SUM(F33:F38)</f>
        <v>1596.588</v>
      </c>
      <c r="G39" s="8"/>
      <c r="H39" s="13">
        <f>SUM(H33:H38)</f>
        <v>15610</v>
      </c>
      <c r="I39" s="8"/>
      <c r="J39" s="13">
        <f>SUM(J33:J38)</f>
        <v>1553</v>
      </c>
      <c r="K39" s="8"/>
      <c r="L39" s="13">
        <f t="shared" si="7"/>
        <v>18759.588</v>
      </c>
      <c r="M39" s="39"/>
      <c r="N39" s="64"/>
      <c r="O39" s="147"/>
      <c r="P39" s="147"/>
      <c r="Q39" s="147"/>
      <c r="R39" s="147"/>
    </row>
    <row r="40" spans="1:18" s="6" customFormat="1" ht="24.75" customHeight="1">
      <c r="A40" s="135" t="s">
        <v>37</v>
      </c>
      <c r="B40" s="133"/>
      <c r="C40" s="10"/>
      <c r="D40" s="11"/>
      <c r="E40" s="46"/>
      <c r="F40" s="13">
        <f>SUM(F32,F39)</f>
        <v>164146.588</v>
      </c>
      <c r="G40" s="8"/>
      <c r="H40" s="13">
        <f>SUM(H32,H39)</f>
        <v>15610</v>
      </c>
      <c r="I40" s="8"/>
      <c r="J40" s="13">
        <f>SUM(J32,J39)</f>
        <v>1553</v>
      </c>
      <c r="K40" s="8"/>
      <c r="L40" s="13">
        <f t="shared" si="7"/>
        <v>181309.588</v>
      </c>
      <c r="M40" s="39"/>
      <c r="N40" s="64"/>
      <c r="O40" s="147"/>
      <c r="P40" s="147"/>
      <c r="Q40" s="147"/>
      <c r="R40" s="147"/>
    </row>
    <row r="41" spans="1:18" s="7" customFormat="1" ht="24.75" customHeight="1">
      <c r="A41" s="138"/>
      <c r="B41" s="139" t="s">
        <v>19</v>
      </c>
      <c r="C41" s="184">
        <f>L40</f>
        <v>181309.588</v>
      </c>
      <c r="D41" s="184"/>
      <c r="E41" s="143" t="s">
        <v>100</v>
      </c>
      <c r="F41" s="91">
        <f>ROUNDUP(L40/2,0)</f>
        <v>90655</v>
      </c>
      <c r="G41" s="140"/>
      <c r="H41" s="140"/>
      <c r="I41" s="140"/>
      <c r="J41" s="140"/>
      <c r="K41" s="140"/>
      <c r="L41" s="140"/>
      <c r="M41" s="141"/>
      <c r="N41" s="68"/>
      <c r="O41" s="147"/>
      <c r="P41" s="150"/>
      <c r="Q41" s="150"/>
      <c r="R41" s="150"/>
    </row>
    <row r="42" spans="1:18" s="6" customFormat="1" ht="24.75" customHeight="1">
      <c r="A42" s="185" t="s">
        <v>126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62"/>
      <c r="O42" s="147"/>
      <c r="P42" s="147"/>
      <c r="Q42" s="147"/>
      <c r="R42" s="147"/>
    </row>
    <row r="43" spans="1:18" s="6" customFormat="1" ht="24.75" customHeight="1">
      <c r="A43" s="9" t="s">
        <v>52</v>
      </c>
      <c r="B43" s="131" t="str">
        <f>B24</f>
        <v>Φ139.8×4.3t×2100</v>
      </c>
      <c r="C43" s="10">
        <f>C24</f>
        <v>0.5</v>
      </c>
      <c r="D43" s="11" t="s">
        <v>93</v>
      </c>
      <c r="E43" s="8">
        <f>E24</f>
        <v>60000</v>
      </c>
      <c r="F43" s="8">
        <f aca="true" t="shared" si="9" ref="F43:F50">INT(E43*C43)</f>
        <v>30000</v>
      </c>
      <c r="G43" s="8"/>
      <c r="H43" s="8"/>
      <c r="I43" s="8"/>
      <c r="J43" s="8"/>
      <c r="K43" s="8">
        <f aca="true" t="shared" si="10" ref="K43:K50">SUM(E43,G43,I43)</f>
        <v>60000</v>
      </c>
      <c r="L43" s="8">
        <f aca="true" t="shared" si="11" ref="L43:L50">SUM(F43,H43,J43)</f>
        <v>30000</v>
      </c>
      <c r="M43" s="129"/>
      <c r="N43" s="61"/>
      <c r="O43" s="147"/>
      <c r="P43" s="147"/>
      <c r="Q43" s="147"/>
      <c r="R43" s="147"/>
    </row>
    <row r="44" spans="1:18" s="73" customFormat="1" ht="24.75" customHeight="1">
      <c r="A44" s="9" t="s">
        <v>117</v>
      </c>
      <c r="B44" s="131" t="str">
        <f>B25</f>
        <v>Φ114.3×4.3t×500</v>
      </c>
      <c r="C44" s="10">
        <f aca="true" t="shared" si="12" ref="B44:C46">C25</f>
        <v>0.5</v>
      </c>
      <c r="D44" s="11" t="s">
        <v>93</v>
      </c>
      <c r="E44" s="8">
        <f>E25</f>
        <v>15000</v>
      </c>
      <c r="F44" s="8">
        <f t="shared" si="9"/>
        <v>7500</v>
      </c>
      <c r="G44" s="8"/>
      <c r="H44" s="8"/>
      <c r="I44" s="8"/>
      <c r="J44" s="8"/>
      <c r="K44" s="8">
        <f t="shared" si="10"/>
        <v>15000</v>
      </c>
      <c r="L44" s="8">
        <f t="shared" si="11"/>
        <v>7500</v>
      </c>
      <c r="M44" s="129"/>
      <c r="N44" s="93"/>
      <c r="O44" s="147"/>
      <c r="P44" s="148"/>
      <c r="Q44" s="148"/>
      <c r="R44" s="148"/>
    </row>
    <row r="45" spans="1:18" s="73" customFormat="1" ht="24.75" customHeight="1">
      <c r="A45" s="9" t="s">
        <v>118</v>
      </c>
      <c r="B45" s="131" t="str">
        <f>B26</f>
        <v>Φ139.8</v>
      </c>
      <c r="C45" s="10">
        <f t="shared" si="12"/>
        <v>0.5</v>
      </c>
      <c r="D45" s="11" t="s">
        <v>119</v>
      </c>
      <c r="E45" s="8">
        <f>E26</f>
        <v>2300</v>
      </c>
      <c r="F45" s="8">
        <f t="shared" si="9"/>
        <v>1150</v>
      </c>
      <c r="G45" s="8"/>
      <c r="H45" s="8"/>
      <c r="I45" s="8"/>
      <c r="J45" s="8"/>
      <c r="K45" s="8">
        <f t="shared" si="10"/>
        <v>2300</v>
      </c>
      <c r="L45" s="8">
        <f t="shared" si="11"/>
        <v>1150</v>
      </c>
      <c r="M45" s="129"/>
      <c r="N45" s="93"/>
      <c r="O45" s="147"/>
      <c r="P45" s="148"/>
      <c r="Q45" s="148"/>
      <c r="R45" s="148"/>
    </row>
    <row r="46" spans="1:18" s="73" customFormat="1" ht="24.75" customHeight="1">
      <c r="A46" s="9" t="s">
        <v>120</v>
      </c>
      <c r="B46" s="131" t="str">
        <f t="shared" si="12"/>
        <v>260×4.0t×245</v>
      </c>
      <c r="C46" s="10">
        <f t="shared" si="12"/>
        <v>0.5</v>
      </c>
      <c r="D46" s="11" t="s">
        <v>119</v>
      </c>
      <c r="E46" s="8">
        <f>E27</f>
        <v>29200</v>
      </c>
      <c r="F46" s="8">
        <f t="shared" si="9"/>
        <v>14600</v>
      </c>
      <c r="G46" s="8"/>
      <c r="H46" s="8"/>
      <c r="I46" s="8"/>
      <c r="J46" s="8"/>
      <c r="K46" s="8">
        <f t="shared" si="10"/>
        <v>29200</v>
      </c>
      <c r="L46" s="8">
        <f t="shared" si="11"/>
        <v>14600</v>
      </c>
      <c r="M46" s="129"/>
      <c r="N46" s="93"/>
      <c r="O46" s="147"/>
      <c r="P46" s="148"/>
      <c r="Q46" s="148"/>
      <c r="R46" s="148"/>
    </row>
    <row r="47" spans="1:18" s="73" customFormat="1" ht="24.75" customHeight="1">
      <c r="A47" s="9" t="s">
        <v>127</v>
      </c>
      <c r="B47" s="131" t="s">
        <v>135</v>
      </c>
      <c r="C47" s="10">
        <f>C28</f>
        <v>1</v>
      </c>
      <c r="D47" s="11" t="s">
        <v>128</v>
      </c>
      <c r="E47" s="8">
        <v>49000</v>
      </c>
      <c r="F47" s="8">
        <f t="shared" si="9"/>
        <v>49000</v>
      </c>
      <c r="G47" s="8"/>
      <c r="H47" s="8"/>
      <c r="I47" s="8"/>
      <c r="J47" s="8"/>
      <c r="K47" s="8">
        <f t="shared" si="10"/>
        <v>49000</v>
      </c>
      <c r="L47" s="8">
        <f t="shared" si="11"/>
        <v>49000</v>
      </c>
      <c r="M47" s="145" t="s">
        <v>111</v>
      </c>
      <c r="N47" s="93"/>
      <c r="O47" s="148"/>
      <c r="P47" s="148"/>
      <c r="Q47" s="148"/>
      <c r="R47" s="148"/>
    </row>
    <row r="48" spans="1:18" s="73" customFormat="1" ht="24.75" customHeight="1">
      <c r="A48" s="9" t="str">
        <f aca="true" t="shared" si="13" ref="A48:B50">A29</f>
        <v>블럭아웃고정볼트</v>
      </c>
      <c r="B48" s="131" t="str">
        <f t="shared" si="13"/>
        <v>M19×180</v>
      </c>
      <c r="C48" s="10">
        <f>C29</f>
        <v>1</v>
      </c>
      <c r="D48" s="11" t="s">
        <v>123</v>
      </c>
      <c r="E48" s="8">
        <f>E29</f>
        <v>2100</v>
      </c>
      <c r="F48" s="8">
        <f t="shared" si="9"/>
        <v>2100</v>
      </c>
      <c r="G48" s="8"/>
      <c r="H48" s="8"/>
      <c r="I48" s="8"/>
      <c r="J48" s="8"/>
      <c r="K48" s="8">
        <f t="shared" si="10"/>
        <v>2100</v>
      </c>
      <c r="L48" s="8">
        <f t="shared" si="11"/>
        <v>2100</v>
      </c>
      <c r="M48" s="129"/>
      <c r="N48" s="93"/>
      <c r="O48" s="148"/>
      <c r="P48" s="148"/>
      <c r="Q48" s="148"/>
      <c r="R48" s="148"/>
    </row>
    <row r="49" spans="1:18" s="73" customFormat="1" ht="24.75" customHeight="1">
      <c r="A49" s="9" t="str">
        <f t="shared" si="13"/>
        <v>고정볼트</v>
      </c>
      <c r="B49" s="131" t="str">
        <f t="shared" si="13"/>
        <v>M18×50</v>
      </c>
      <c r="C49" s="10">
        <f>C30</f>
        <v>2</v>
      </c>
      <c r="D49" s="11" t="s">
        <v>123</v>
      </c>
      <c r="E49" s="8">
        <f>E30</f>
        <v>1200</v>
      </c>
      <c r="F49" s="8">
        <f t="shared" si="9"/>
        <v>2400</v>
      </c>
      <c r="G49" s="8"/>
      <c r="H49" s="8"/>
      <c r="I49" s="8"/>
      <c r="J49" s="8"/>
      <c r="K49" s="8">
        <f t="shared" si="10"/>
        <v>1200</v>
      </c>
      <c r="L49" s="8">
        <f t="shared" si="11"/>
        <v>2400</v>
      </c>
      <c r="M49" s="129"/>
      <c r="N49" s="93"/>
      <c r="O49" s="148"/>
      <c r="P49" s="148"/>
      <c r="Q49" s="148"/>
      <c r="R49" s="148"/>
    </row>
    <row r="50" spans="1:18" s="6" customFormat="1" ht="24.75" customHeight="1">
      <c r="A50" s="9" t="str">
        <f t="shared" si="13"/>
        <v>레일연결볼트</v>
      </c>
      <c r="B50" s="131" t="str">
        <f t="shared" si="13"/>
        <v>M16×33</v>
      </c>
      <c r="C50" s="10">
        <v>6</v>
      </c>
      <c r="D50" s="11" t="s">
        <v>123</v>
      </c>
      <c r="E50" s="8">
        <f>E31</f>
        <v>900</v>
      </c>
      <c r="F50" s="8">
        <f t="shared" si="9"/>
        <v>5400</v>
      </c>
      <c r="G50" s="8"/>
      <c r="H50" s="8"/>
      <c r="I50" s="8"/>
      <c r="J50" s="8"/>
      <c r="K50" s="8">
        <f t="shared" si="10"/>
        <v>900</v>
      </c>
      <c r="L50" s="8">
        <f t="shared" si="11"/>
        <v>5400</v>
      </c>
      <c r="M50" s="129"/>
      <c r="N50" s="63"/>
      <c r="O50" s="148"/>
      <c r="P50" s="147"/>
      <c r="Q50" s="147"/>
      <c r="R50" s="147"/>
    </row>
    <row r="51" spans="1:18" s="6" customFormat="1" ht="24.75" customHeight="1">
      <c r="A51" s="135" t="s">
        <v>92</v>
      </c>
      <c r="B51" s="133"/>
      <c r="C51" s="10"/>
      <c r="D51" s="11"/>
      <c r="E51" s="46"/>
      <c r="F51" s="13">
        <f>SUM(F43:F50)</f>
        <v>112150</v>
      </c>
      <c r="G51" s="8"/>
      <c r="H51" s="13">
        <f>SUM(H43:H50)</f>
        <v>0</v>
      </c>
      <c r="I51" s="8"/>
      <c r="J51" s="13">
        <f>SUM(J43:J50)</f>
        <v>0</v>
      </c>
      <c r="K51" s="8"/>
      <c r="L51" s="13">
        <f aca="true" t="shared" si="14" ref="L51:L59">SUM(F51,H51,J51)</f>
        <v>112150</v>
      </c>
      <c r="M51" s="81" t="str">
        <f>M13</f>
        <v>2022. 01 거래가격 P.266</v>
      </c>
      <c r="N51" s="64"/>
      <c r="O51" s="149"/>
      <c r="P51" s="147"/>
      <c r="Q51" s="147"/>
      <c r="R51" s="147"/>
    </row>
    <row r="52" spans="1:19" s="6" customFormat="1" ht="24.75" customHeight="1">
      <c r="A52" s="132" t="s">
        <v>39</v>
      </c>
      <c r="B52" s="131" t="s">
        <v>39</v>
      </c>
      <c r="C52" s="92">
        <f>$C14*50%</f>
        <v>0.024</v>
      </c>
      <c r="D52" s="11" t="s">
        <v>18</v>
      </c>
      <c r="E52" s="142"/>
      <c r="F52" s="8"/>
      <c r="G52" s="8">
        <f>G33</f>
        <v>187435</v>
      </c>
      <c r="H52" s="8">
        <f>INT(G52*C52)</f>
        <v>4498</v>
      </c>
      <c r="I52" s="8"/>
      <c r="J52" s="8"/>
      <c r="K52" s="8">
        <f aca="true" t="shared" si="15" ref="K52:K57">SUM(E52,G52,I52)</f>
        <v>187435</v>
      </c>
      <c r="L52" s="8">
        <f t="shared" si="14"/>
        <v>4498</v>
      </c>
      <c r="M52" s="81" t="str">
        <f>M33</f>
        <v>표준구간의 50%</v>
      </c>
      <c r="N52" s="65"/>
      <c r="O52" s="147"/>
      <c r="P52" s="147"/>
      <c r="Q52" s="147"/>
      <c r="R52" s="147"/>
      <c r="S52" s="41"/>
    </row>
    <row r="53" spans="1:18" s="6" customFormat="1" ht="24.75" customHeight="1">
      <c r="A53" s="132" t="s">
        <v>33</v>
      </c>
      <c r="B53" s="131" t="s">
        <v>33</v>
      </c>
      <c r="C53" s="92">
        <f>$C15*50%</f>
        <v>0.0475</v>
      </c>
      <c r="D53" s="11" t="s">
        <v>102</v>
      </c>
      <c r="E53" s="142"/>
      <c r="F53" s="8"/>
      <c r="G53" s="8">
        <f>G34</f>
        <v>148510</v>
      </c>
      <c r="H53" s="8">
        <f>INT(G53*C53)</f>
        <v>7054</v>
      </c>
      <c r="I53" s="8"/>
      <c r="J53" s="8"/>
      <c r="K53" s="8">
        <f t="shared" si="15"/>
        <v>148510</v>
      </c>
      <c r="L53" s="8">
        <f t="shared" si="14"/>
        <v>7054</v>
      </c>
      <c r="M53" s="81" t="str">
        <f>M52</f>
        <v>표준구간의 50%</v>
      </c>
      <c r="N53" s="65"/>
      <c r="O53" s="147"/>
      <c r="P53" s="147"/>
      <c r="Q53" s="147"/>
      <c r="R53" s="147"/>
    </row>
    <row r="54" spans="1:18" s="6" customFormat="1" ht="24.75" customHeight="1">
      <c r="A54" s="9" t="s">
        <v>31</v>
      </c>
      <c r="B54" s="131" t="s">
        <v>46</v>
      </c>
      <c r="C54" s="92">
        <f>$C16*50%</f>
        <v>0.038</v>
      </c>
      <c r="D54" s="11" t="s">
        <v>32</v>
      </c>
      <c r="E54" s="142">
        <f>E35</f>
        <v>20843</v>
      </c>
      <c r="F54" s="8">
        <f>INT(E54*C54)</f>
        <v>792</v>
      </c>
      <c r="G54" s="12">
        <f>G35</f>
        <v>47849</v>
      </c>
      <c r="H54" s="8">
        <f>INT(G54*C54)</f>
        <v>1818</v>
      </c>
      <c r="I54" s="12">
        <f>I35</f>
        <v>33324</v>
      </c>
      <c r="J54" s="8">
        <f>INT(I54*C54)</f>
        <v>1266</v>
      </c>
      <c r="K54" s="8">
        <f t="shared" si="15"/>
        <v>102016</v>
      </c>
      <c r="L54" s="8">
        <f t="shared" si="14"/>
        <v>3876</v>
      </c>
      <c r="M54" s="81" t="str">
        <f>M53</f>
        <v>표준구간의 50%</v>
      </c>
      <c r="N54" s="66"/>
      <c r="O54" s="147"/>
      <c r="P54" s="147"/>
      <c r="Q54" s="147"/>
      <c r="R54" s="147"/>
    </row>
    <row r="55" spans="1:18" s="6" customFormat="1" ht="24.75" customHeight="1">
      <c r="A55" s="9" t="s">
        <v>66</v>
      </c>
      <c r="B55" s="131" t="s">
        <v>55</v>
      </c>
      <c r="C55" s="137">
        <f>$C17*50%</f>
        <v>0.0285</v>
      </c>
      <c r="D55" s="11" t="s">
        <v>32</v>
      </c>
      <c r="E55" s="142">
        <f>E36</f>
        <v>5798</v>
      </c>
      <c r="F55" s="8">
        <f>INT(C55*E55)</f>
        <v>165</v>
      </c>
      <c r="G55" s="12">
        <f>G36</f>
        <v>39645</v>
      </c>
      <c r="H55" s="8">
        <f>INT(G55*C55)</f>
        <v>1129</v>
      </c>
      <c r="I55" s="12">
        <f>I36</f>
        <v>5965</v>
      </c>
      <c r="J55" s="8">
        <f>INT(C55*I55)</f>
        <v>170</v>
      </c>
      <c r="K55" s="8">
        <f t="shared" si="15"/>
        <v>51408</v>
      </c>
      <c r="L55" s="8">
        <f t="shared" si="14"/>
        <v>1464</v>
      </c>
      <c r="M55" s="81" t="str">
        <f>M54</f>
        <v>표준구간의 50%</v>
      </c>
      <c r="N55" s="66"/>
      <c r="O55" s="147"/>
      <c r="P55" s="147"/>
      <c r="Q55" s="147"/>
      <c r="R55" s="147"/>
    </row>
    <row r="56" spans="1:18" s="6" customFormat="1" ht="24.75" customHeight="1">
      <c r="A56" s="9" t="s">
        <v>60</v>
      </c>
      <c r="B56" s="131" t="s">
        <v>61</v>
      </c>
      <c r="C56" s="137">
        <f>$C18*50%</f>
        <v>0.038</v>
      </c>
      <c r="D56" s="11" t="s">
        <v>56</v>
      </c>
      <c r="E56" s="142">
        <f>E37</f>
        <v>7726</v>
      </c>
      <c r="F56" s="8">
        <f>C56*E56</f>
        <v>293.58799999999997</v>
      </c>
      <c r="G56" s="12">
        <f>G37</f>
        <v>29239.791666666664</v>
      </c>
      <c r="H56" s="8">
        <f>INT(G56*C56)</f>
        <v>1111</v>
      </c>
      <c r="I56" s="12">
        <f>I37</f>
        <v>3090</v>
      </c>
      <c r="J56" s="8">
        <f>INT(C56*I56)</f>
        <v>117</v>
      </c>
      <c r="K56" s="8">
        <f t="shared" si="15"/>
        <v>40055.791666666664</v>
      </c>
      <c r="L56" s="8">
        <f t="shared" si="14"/>
        <v>1521.588</v>
      </c>
      <c r="M56" s="81" t="str">
        <f>M55</f>
        <v>표준구간의 50%</v>
      </c>
      <c r="N56" s="66"/>
      <c r="O56" s="147"/>
      <c r="P56" s="147"/>
      <c r="Q56" s="147"/>
      <c r="R56" s="147"/>
    </row>
    <row r="57" spans="1:18" s="6" customFormat="1" ht="24.75" customHeight="1">
      <c r="A57" s="9" t="s">
        <v>35</v>
      </c>
      <c r="B57" s="131" t="s">
        <v>38</v>
      </c>
      <c r="C57" s="134">
        <v>1</v>
      </c>
      <c r="D57" s="11" t="s">
        <v>34</v>
      </c>
      <c r="E57" s="46">
        <f>INT(SUM(H52:H53)*3%)</f>
        <v>346</v>
      </c>
      <c r="F57" s="8">
        <f>INT(E57*C57)</f>
        <v>346</v>
      </c>
      <c r="G57" s="8"/>
      <c r="H57" s="8"/>
      <c r="I57" s="42"/>
      <c r="J57" s="8"/>
      <c r="K57" s="8">
        <f t="shared" si="15"/>
        <v>346</v>
      </c>
      <c r="L57" s="8">
        <f t="shared" si="14"/>
        <v>346</v>
      </c>
      <c r="M57" s="136"/>
      <c r="N57" s="67"/>
      <c r="O57" s="147"/>
      <c r="P57" s="147"/>
      <c r="Q57" s="147"/>
      <c r="R57" s="147"/>
    </row>
    <row r="58" spans="1:18" s="6" customFormat="1" ht="24.75" customHeight="1">
      <c r="A58" s="135" t="s">
        <v>47</v>
      </c>
      <c r="B58" s="133"/>
      <c r="C58" s="10"/>
      <c r="D58" s="11"/>
      <c r="E58" s="46"/>
      <c r="F58" s="13">
        <f>SUM(F52:F57)</f>
        <v>1596.588</v>
      </c>
      <c r="G58" s="8"/>
      <c r="H58" s="13">
        <f>SUM(H52:H57)</f>
        <v>15610</v>
      </c>
      <c r="I58" s="8"/>
      <c r="J58" s="13">
        <f>SUM(J52:J57)</f>
        <v>1553</v>
      </c>
      <c r="K58" s="8"/>
      <c r="L58" s="13">
        <f t="shared" si="14"/>
        <v>18759.588</v>
      </c>
      <c r="M58" s="39"/>
      <c r="N58" s="64"/>
      <c r="O58" s="147"/>
      <c r="P58" s="147"/>
      <c r="Q58" s="147"/>
      <c r="R58" s="147"/>
    </row>
    <row r="59" spans="1:18" s="6" customFormat="1" ht="24.75" customHeight="1">
      <c r="A59" s="135" t="s">
        <v>37</v>
      </c>
      <c r="B59" s="133"/>
      <c r="C59" s="10"/>
      <c r="D59" s="11"/>
      <c r="E59" s="46"/>
      <c r="F59" s="13">
        <f>SUM(F51,F58)</f>
        <v>113746.588</v>
      </c>
      <c r="G59" s="8"/>
      <c r="H59" s="13">
        <f>SUM(H51,H58)</f>
        <v>15610</v>
      </c>
      <c r="I59" s="8"/>
      <c r="J59" s="13">
        <f>SUM(J51,J58)</f>
        <v>1553</v>
      </c>
      <c r="K59" s="8"/>
      <c r="L59" s="13">
        <f t="shared" si="14"/>
        <v>130909.588</v>
      </c>
      <c r="M59" s="39"/>
      <c r="N59" s="64"/>
      <c r="O59" s="147"/>
      <c r="P59" s="147"/>
      <c r="Q59" s="147"/>
      <c r="R59" s="147"/>
    </row>
    <row r="60" spans="1:18" s="7" customFormat="1" ht="24.75" customHeight="1">
      <c r="A60" s="138"/>
      <c r="B60" s="139" t="s">
        <v>19</v>
      </c>
      <c r="C60" s="184">
        <f>L59</f>
        <v>130909.588</v>
      </c>
      <c r="D60" s="184"/>
      <c r="E60" s="143" t="s">
        <v>100</v>
      </c>
      <c r="F60" s="91">
        <f>ROUNDUP(L59/2,0)</f>
        <v>65455</v>
      </c>
      <c r="G60" s="140"/>
      <c r="H60" s="140"/>
      <c r="I60" s="140"/>
      <c r="J60" s="140"/>
      <c r="K60" s="140"/>
      <c r="L60" s="140"/>
      <c r="M60" s="141"/>
      <c r="N60" s="68"/>
      <c r="O60" s="147"/>
      <c r="P60" s="150"/>
      <c r="Q60" s="150"/>
      <c r="R60" s="150"/>
    </row>
  </sheetData>
  <sheetProtection/>
  <mergeCells count="16">
    <mergeCell ref="C60:D60"/>
    <mergeCell ref="I2:J2"/>
    <mergeCell ref="K2:L2"/>
    <mergeCell ref="C41:D41"/>
    <mergeCell ref="A23:M23"/>
    <mergeCell ref="A42:M42"/>
    <mergeCell ref="M2:M3"/>
    <mergeCell ref="A4:M4"/>
    <mergeCell ref="C22:D22"/>
    <mergeCell ref="A1:M1"/>
    <mergeCell ref="A2:A3"/>
    <mergeCell ref="B2:B3"/>
    <mergeCell ref="C2:C3"/>
    <mergeCell ref="D2:D3"/>
    <mergeCell ref="E2:F2"/>
    <mergeCell ref="G2:H2"/>
  </mergeCells>
  <printOptions horizontalCentered="1"/>
  <pageMargins left="0.4724409448818898" right="0.2362204724409449" top="1.062992125984252" bottom="0.31496062992125984" header="0.6299212598425197" footer="0.15748031496062992"/>
  <pageSetup horizontalDpi="300" verticalDpi="300" orientation="landscape" paperSize="9" scale="78" r:id="rId1"/>
  <headerFooter alignWithMargins="0">
    <oddHeader>&amp;C&amp;"굴림체,굵게"&amp;16일   위   대   가   표&amp;R&amp;10
</oddHeader>
    <oddFooter>&amp;R&amp;8SGS-H775 / 2015-02-09</oddFooter>
  </headerFooter>
  <rowBreaks count="2" manualBreakCount="2">
    <brk id="22" max="12" man="1"/>
    <brk id="4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90" zoomScaleSheetLayoutView="90" zoomScalePageLayoutView="0" workbookViewId="0" topLeftCell="A1">
      <selection activeCell="J18" sqref="J18"/>
    </sheetView>
  </sheetViews>
  <sheetFormatPr defaultColWidth="7.10546875" defaultRowHeight="29.25" customHeight="1"/>
  <cols>
    <col min="1" max="1" width="18.3359375" style="3" customWidth="1"/>
    <col min="2" max="2" width="12.5546875" style="4" customWidth="1"/>
    <col min="3" max="3" width="5.88671875" style="3" customWidth="1"/>
    <col min="4" max="4" width="4.77734375" style="5" customWidth="1"/>
    <col min="5" max="12" width="9.77734375" style="1" customWidth="1"/>
    <col min="13" max="13" width="33.77734375" style="15" customWidth="1"/>
    <col min="14" max="18" width="7.10546875" style="3" customWidth="1"/>
    <col min="19" max="19" width="8.10546875" style="3" customWidth="1"/>
    <col min="20" max="16384" width="7.10546875" style="3" customWidth="1"/>
  </cols>
  <sheetData>
    <row r="1" spans="1:13" ht="24" customHeight="1">
      <c r="A1" s="197" t="s">
        <v>20</v>
      </c>
      <c r="B1" s="196" t="s">
        <v>21</v>
      </c>
      <c r="C1" s="196" t="s">
        <v>22</v>
      </c>
      <c r="D1" s="196" t="s">
        <v>23</v>
      </c>
      <c r="E1" s="192" t="s">
        <v>24</v>
      </c>
      <c r="F1" s="192"/>
      <c r="G1" s="192" t="s">
        <v>25</v>
      </c>
      <c r="H1" s="192"/>
      <c r="I1" s="192" t="s">
        <v>26</v>
      </c>
      <c r="J1" s="192"/>
      <c r="K1" s="192" t="s">
        <v>27</v>
      </c>
      <c r="L1" s="192"/>
      <c r="M1" s="198" t="s">
        <v>28</v>
      </c>
    </row>
    <row r="2" spans="1:13" ht="24" customHeight="1">
      <c r="A2" s="181"/>
      <c r="B2" s="182"/>
      <c r="C2" s="182"/>
      <c r="D2" s="182"/>
      <c r="E2" s="82" t="s">
        <v>29</v>
      </c>
      <c r="F2" s="82" t="s">
        <v>30</v>
      </c>
      <c r="G2" s="82" t="s">
        <v>29</v>
      </c>
      <c r="H2" s="82" t="s">
        <v>30</v>
      </c>
      <c r="I2" s="82" t="s">
        <v>29</v>
      </c>
      <c r="J2" s="82" t="s">
        <v>30</v>
      </c>
      <c r="K2" s="82" t="s">
        <v>29</v>
      </c>
      <c r="L2" s="82" t="s">
        <v>30</v>
      </c>
      <c r="M2" s="188"/>
    </row>
    <row r="3" spans="1:13" ht="24" customHeight="1">
      <c r="A3" s="189" t="s">
        <v>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</row>
    <row r="4" spans="1:19" ht="24" customHeight="1">
      <c r="A4" s="9" t="s">
        <v>78</v>
      </c>
      <c r="B4" s="14" t="s">
        <v>41</v>
      </c>
      <c r="C4" s="10">
        <v>1</v>
      </c>
      <c r="D4" s="11" t="s">
        <v>79</v>
      </c>
      <c r="E4" s="8"/>
      <c r="F4" s="8"/>
      <c r="G4" s="8"/>
      <c r="H4" s="8"/>
      <c r="I4" s="8">
        <f>Q4*R4*S4</f>
        <v>24867.080599999998</v>
      </c>
      <c r="J4" s="8">
        <f>INT(I4*C4)</f>
        <v>24867</v>
      </c>
      <c r="K4" s="8">
        <f aca="true" t="shared" si="0" ref="K4:L8">SUM(E4,G4,I4)</f>
        <v>24867.080599999998</v>
      </c>
      <c r="L4" s="8">
        <f t="shared" si="0"/>
        <v>24867</v>
      </c>
      <c r="M4" s="81" t="str">
        <f>O4&amp;"년 건설공사표준품셈(대한건설협회) P."&amp;P4&amp;"
기계값x시간당손료율="&amp;Q4&amp;"x"&amp;R4&amp;"x"&amp;S4</f>
        <v>2022년 건설공사표준품셈(대한건설협회) P.651,702,718
기계값x시간당손료율=109114000x2279x0.0000001</v>
      </c>
      <c r="O4" s="5">
        <f>base!A9</f>
        <v>2022</v>
      </c>
      <c r="P4" s="5" t="str">
        <f>base!B9</f>
        <v>651,702,718</v>
      </c>
      <c r="Q4" s="5">
        <f>base!G9</f>
        <v>109114000</v>
      </c>
      <c r="R4" s="5">
        <f>base!H9</f>
        <v>2279</v>
      </c>
      <c r="S4" s="5">
        <f>base!I9</f>
        <v>1E-07</v>
      </c>
    </row>
    <row r="5" spans="1:19" ht="24" customHeight="1">
      <c r="A5" s="9" t="s">
        <v>42</v>
      </c>
      <c r="B5" s="14"/>
      <c r="C5" s="10">
        <v>1</v>
      </c>
      <c r="D5" s="11" t="s">
        <v>32</v>
      </c>
      <c r="E5" s="8"/>
      <c r="F5" s="8"/>
      <c r="G5" s="8"/>
      <c r="H5" s="8"/>
      <c r="I5" s="8">
        <f>Q5*R5*S5</f>
        <v>8457.2012</v>
      </c>
      <c r="J5" s="8">
        <f>INT(I5*C5)</f>
        <v>8457</v>
      </c>
      <c r="K5" s="8">
        <f t="shared" si="0"/>
        <v>8457.2012</v>
      </c>
      <c r="L5" s="8">
        <f t="shared" si="0"/>
        <v>8457</v>
      </c>
      <c r="M5" s="81" t="str">
        <f>O5&amp;"년 건설공사표준품셈(대한건설협회) P."&amp;P5&amp;"
기계값x시간당손료율="&amp;Q5&amp;"x"&amp;R5&amp;"x"&amp;S5</f>
        <v>2022년 건설공사표준품셈(대한건설협회) P.652,718
기계값x시간당손료율=12812000x6601x0.0000001</v>
      </c>
      <c r="O5" s="5">
        <f>base!A10</f>
        <v>2022</v>
      </c>
      <c r="P5" s="5" t="str">
        <f>base!B10</f>
        <v>652,718</v>
      </c>
      <c r="Q5" s="5">
        <f>base!G10</f>
        <v>12812000</v>
      </c>
      <c r="R5" s="5">
        <f>base!H10</f>
        <v>6601</v>
      </c>
      <c r="S5" s="5">
        <f>base!I10</f>
        <v>1E-07</v>
      </c>
    </row>
    <row r="6" spans="1:20" ht="24" customHeight="1">
      <c r="A6" s="9" t="s">
        <v>43</v>
      </c>
      <c r="B6" s="14" t="s">
        <v>80</v>
      </c>
      <c r="C6" s="10">
        <v>11.6</v>
      </c>
      <c r="D6" s="37" t="s">
        <v>81</v>
      </c>
      <c r="E6" s="46">
        <f>base!G26</f>
        <v>1449.090909090909</v>
      </c>
      <c r="F6" s="8">
        <f>INT(E6*C6)</f>
        <v>16809</v>
      </c>
      <c r="G6" s="8"/>
      <c r="H6" s="8"/>
      <c r="I6" s="8"/>
      <c r="J6" s="8"/>
      <c r="K6" s="8">
        <f t="shared" si="0"/>
        <v>1449.090909090909</v>
      </c>
      <c r="L6" s="8">
        <f t="shared" si="0"/>
        <v>16809</v>
      </c>
      <c r="M6" s="75" t="str">
        <f>O6&amp;".0"&amp;P6&amp;" "&amp;Q6&amp;" P."&amp;R6</f>
        <v>2022.01 거래가격 P.1435</v>
      </c>
      <c r="N6" s="73"/>
      <c r="O6" s="76">
        <f>base!A26</f>
        <v>2022</v>
      </c>
      <c r="P6" s="76">
        <f>base!B26</f>
        <v>1</v>
      </c>
      <c r="Q6" s="76" t="str">
        <f>base!C26</f>
        <v>거래가격</v>
      </c>
      <c r="R6" s="76">
        <f>base!D26</f>
        <v>1435</v>
      </c>
      <c r="S6" s="76"/>
      <c r="T6" s="73"/>
    </row>
    <row r="7" spans="1:13" ht="24" customHeight="1">
      <c r="A7" s="9" t="s">
        <v>45</v>
      </c>
      <c r="B7" s="14" t="s">
        <v>101</v>
      </c>
      <c r="C7" s="10">
        <v>0.24</v>
      </c>
      <c r="D7" s="38" t="s">
        <v>34</v>
      </c>
      <c r="E7" s="8">
        <f>(F6)</f>
        <v>16809</v>
      </c>
      <c r="F7" s="8">
        <f>INT(E7*C7)</f>
        <v>4034</v>
      </c>
      <c r="G7" s="8"/>
      <c r="H7" s="8"/>
      <c r="I7" s="8"/>
      <c r="J7" s="8"/>
      <c r="K7" s="8">
        <f t="shared" si="0"/>
        <v>16809</v>
      </c>
      <c r="L7" s="8">
        <f t="shared" si="0"/>
        <v>4034</v>
      </c>
      <c r="M7" s="40"/>
    </row>
    <row r="8" spans="1:13" ht="24" customHeight="1">
      <c r="A8" s="9" t="s">
        <v>49</v>
      </c>
      <c r="B8" s="14"/>
      <c r="C8" s="79">
        <f>((1/8)*(16/12)*(25/20))</f>
        <v>0.20833333333333331</v>
      </c>
      <c r="D8" s="38" t="s">
        <v>18</v>
      </c>
      <c r="E8" s="8"/>
      <c r="F8" s="8"/>
      <c r="G8" s="8">
        <f>G25</f>
        <v>229676</v>
      </c>
      <c r="H8" s="8">
        <f>INT(G8*C8)</f>
        <v>47849</v>
      </c>
      <c r="I8" s="8"/>
      <c r="J8" s="8"/>
      <c r="K8" s="8">
        <f t="shared" si="0"/>
        <v>229676</v>
      </c>
      <c r="L8" s="8">
        <f t="shared" si="0"/>
        <v>47849</v>
      </c>
      <c r="M8" s="80" t="s">
        <v>74</v>
      </c>
    </row>
    <row r="9" spans="1:13" s="16" customFormat="1" ht="24" customHeight="1">
      <c r="A9" s="51" t="s">
        <v>40</v>
      </c>
      <c r="B9" s="48"/>
      <c r="C9" s="49"/>
      <c r="D9" s="50"/>
      <c r="E9" s="58"/>
      <c r="F9" s="58">
        <f>SUM(F4:F8)</f>
        <v>20843</v>
      </c>
      <c r="G9" s="58"/>
      <c r="H9" s="58">
        <f>SUM(H4:H8)</f>
        <v>47849</v>
      </c>
      <c r="I9" s="58"/>
      <c r="J9" s="58">
        <f>SUM(J4:J8)</f>
        <v>33324</v>
      </c>
      <c r="K9" s="58"/>
      <c r="L9" s="58">
        <f>SUM(L4:L8)</f>
        <v>102016</v>
      </c>
      <c r="M9" s="52"/>
    </row>
    <row r="10" spans="1:13" ht="24" customHeight="1">
      <c r="A10" s="189" t="s">
        <v>63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</row>
    <row r="11" spans="1:22" ht="24" customHeight="1">
      <c r="A11" s="53" t="s">
        <v>75</v>
      </c>
      <c r="B11" s="44" t="s">
        <v>76</v>
      </c>
      <c r="C11" s="43">
        <v>1</v>
      </c>
      <c r="D11" s="45" t="s">
        <v>73</v>
      </c>
      <c r="E11" s="46"/>
      <c r="F11" s="46"/>
      <c r="G11" s="46"/>
      <c r="H11" s="46"/>
      <c r="I11" s="8">
        <f>Q11*R11*S11</f>
        <v>5965.153499999999</v>
      </c>
      <c r="J11" s="8">
        <f>INT(I11*C11)</f>
        <v>5965</v>
      </c>
      <c r="K11" s="8">
        <f aca="true" t="shared" si="1" ref="K11:L14">SUM(E11,G11,I11)</f>
        <v>5965.153499999999</v>
      </c>
      <c r="L11" s="8">
        <f t="shared" si="1"/>
        <v>5965</v>
      </c>
      <c r="M11" s="81" t="str">
        <f>O11&amp;"년 건설공사표준품셈(대한건설협회) P."&amp;P11&amp;"
기계값x시간당손료율="&amp;Q11&amp;"x"&amp;R11&amp;"x"&amp;S11</f>
        <v>2022년 건설공사표준품셈(대한건설협회) P.655,703,719
기계값x시간당손료율=20105000x2967x0.0000001</v>
      </c>
      <c r="O11" s="5">
        <f>base!A11</f>
        <v>2022</v>
      </c>
      <c r="P11" s="5" t="str">
        <f>base!B11</f>
        <v>655,703,719</v>
      </c>
      <c r="Q11" s="5">
        <f>base!G11</f>
        <v>20105000</v>
      </c>
      <c r="R11" s="5">
        <f>base!H11</f>
        <v>2967</v>
      </c>
      <c r="S11" s="5">
        <f>base!I11</f>
        <v>1E-07</v>
      </c>
      <c r="T11" s="73"/>
      <c r="U11" s="73"/>
      <c r="V11" s="73"/>
    </row>
    <row r="12" spans="1:22" ht="24" customHeight="1">
      <c r="A12" s="9" t="s">
        <v>43</v>
      </c>
      <c r="B12" s="14" t="str">
        <f>B6</f>
        <v>0.001W% S</v>
      </c>
      <c r="C12" s="47">
        <v>2.9</v>
      </c>
      <c r="D12" s="74" t="s">
        <v>44</v>
      </c>
      <c r="E12" s="46">
        <f>E6</f>
        <v>1449.090909090909</v>
      </c>
      <c r="F12" s="46">
        <f>INT(E12*C12)</f>
        <v>4202</v>
      </c>
      <c r="G12" s="46"/>
      <c r="H12" s="46"/>
      <c r="I12" s="46"/>
      <c r="J12" s="46"/>
      <c r="K12" s="8">
        <f t="shared" si="1"/>
        <v>1449.090909090909</v>
      </c>
      <c r="L12" s="46">
        <f t="shared" si="1"/>
        <v>4202</v>
      </c>
      <c r="M12" s="75" t="str">
        <f>M6</f>
        <v>2022.01 거래가격 P.1435</v>
      </c>
      <c r="N12" s="73"/>
      <c r="O12" s="76"/>
      <c r="P12" s="76"/>
      <c r="Q12" s="76"/>
      <c r="R12" s="76"/>
      <c r="S12" s="76"/>
      <c r="T12" s="73"/>
      <c r="U12" s="73"/>
      <c r="V12" s="73"/>
    </row>
    <row r="13" spans="1:22" ht="24" customHeight="1">
      <c r="A13" s="53" t="s">
        <v>45</v>
      </c>
      <c r="B13" s="44" t="s">
        <v>77</v>
      </c>
      <c r="C13" s="43">
        <v>0.38</v>
      </c>
      <c r="D13" s="45" t="s">
        <v>34</v>
      </c>
      <c r="E13" s="46">
        <f>F12</f>
        <v>4202</v>
      </c>
      <c r="F13" s="46">
        <f>INT(E13*C13)</f>
        <v>1596</v>
      </c>
      <c r="G13" s="46"/>
      <c r="H13" s="46"/>
      <c r="I13" s="46"/>
      <c r="J13" s="46"/>
      <c r="K13" s="8">
        <f t="shared" si="1"/>
        <v>4202</v>
      </c>
      <c r="L13" s="46">
        <f t="shared" si="1"/>
        <v>1596</v>
      </c>
      <c r="M13" s="77"/>
      <c r="N13" s="78"/>
      <c r="O13" s="78"/>
      <c r="P13" s="78"/>
      <c r="Q13" s="78"/>
      <c r="R13" s="78"/>
      <c r="S13" s="78"/>
      <c r="T13" s="78"/>
      <c r="U13" s="78"/>
      <c r="V13" s="78"/>
    </row>
    <row r="14" spans="1:13" ht="24" customHeight="1">
      <c r="A14" s="53" t="s">
        <v>57</v>
      </c>
      <c r="B14" s="44"/>
      <c r="C14" s="79">
        <f>((1/8)*(16/12)*(25/20))</f>
        <v>0.20833333333333331</v>
      </c>
      <c r="D14" s="45" t="s">
        <v>58</v>
      </c>
      <c r="E14" s="46"/>
      <c r="F14" s="46"/>
      <c r="G14" s="46">
        <f>L26</f>
        <v>190297</v>
      </c>
      <c r="H14" s="8">
        <f>INT(G14*C14)</f>
        <v>39645</v>
      </c>
      <c r="I14" s="46"/>
      <c r="J14" s="46"/>
      <c r="K14" s="8">
        <f t="shared" si="1"/>
        <v>190297</v>
      </c>
      <c r="L14" s="8">
        <f t="shared" si="1"/>
        <v>39645</v>
      </c>
      <c r="M14" s="80" t="s">
        <v>50</v>
      </c>
    </row>
    <row r="15" spans="1:13" ht="24" customHeight="1">
      <c r="A15" s="56" t="s">
        <v>59</v>
      </c>
      <c r="B15" s="57"/>
      <c r="C15" s="43"/>
      <c r="D15" s="45"/>
      <c r="E15" s="46"/>
      <c r="F15" s="58">
        <f>SUM(F11:F14)</f>
        <v>5798</v>
      </c>
      <c r="G15" s="46"/>
      <c r="H15" s="58">
        <f>SUM(H11:H14)</f>
        <v>39645</v>
      </c>
      <c r="I15" s="46"/>
      <c r="J15" s="58">
        <f>SUM(J11:J14)</f>
        <v>5965</v>
      </c>
      <c r="K15" s="46"/>
      <c r="L15" s="58">
        <f>SUM(L11:L14)</f>
        <v>51408</v>
      </c>
      <c r="M15" s="59"/>
    </row>
    <row r="16" spans="1:13" ht="24" customHeight="1">
      <c r="A16" s="189" t="s">
        <v>65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</row>
    <row r="17" spans="1:19" s="73" customFormat="1" ht="24" customHeight="1">
      <c r="A17" s="53" t="s">
        <v>71</v>
      </c>
      <c r="B17" s="44" t="s">
        <v>72</v>
      </c>
      <c r="C17" s="43">
        <v>1</v>
      </c>
      <c r="D17" s="45" t="s">
        <v>73</v>
      </c>
      <c r="E17" s="46"/>
      <c r="F17" s="46"/>
      <c r="G17" s="46"/>
      <c r="H17" s="46"/>
      <c r="I17" s="8">
        <f>Q17*R17*S17</f>
        <v>3090.6769999999997</v>
      </c>
      <c r="J17" s="8">
        <f>INT(I17*C17)</f>
        <v>3090</v>
      </c>
      <c r="K17" s="8">
        <f aca="true" t="shared" si="2" ref="K17:L20">SUM(E17,G17,I17)</f>
        <v>3090.6769999999997</v>
      </c>
      <c r="L17" s="8">
        <f t="shared" si="2"/>
        <v>3090</v>
      </c>
      <c r="M17" s="81" t="str">
        <f>O17&amp;"년 건설공사표준품셈(대한건설협회) P."&amp;P17&amp;"
기계값x시간당손료율="&amp;Q17&amp;"x"&amp;R17&amp;"x"&amp;S17</f>
        <v>2022년 건설공사표준품셈(대한건설협회) P.691,712,730
기계값x시간당손료율=13085000x2362x0.0000001</v>
      </c>
      <c r="N17" s="3"/>
      <c r="O17" s="5">
        <f>base!A7</f>
        <v>2022</v>
      </c>
      <c r="P17" s="5" t="str">
        <f>base!B7</f>
        <v>691,712,730</v>
      </c>
      <c r="Q17" s="5">
        <f>base!G7</f>
        <v>13085000</v>
      </c>
      <c r="R17" s="5">
        <f>base!H7</f>
        <v>2362</v>
      </c>
      <c r="S17" s="5">
        <f>base!I7</f>
        <v>1E-07</v>
      </c>
    </row>
    <row r="18" spans="1:19" s="73" customFormat="1" ht="24" customHeight="1">
      <c r="A18" s="9" t="s">
        <v>43</v>
      </c>
      <c r="B18" s="14" t="str">
        <f>B12</f>
        <v>0.001W% S</v>
      </c>
      <c r="C18" s="47">
        <v>4.3</v>
      </c>
      <c r="D18" s="74" t="s">
        <v>44</v>
      </c>
      <c r="E18" s="46">
        <f>E12</f>
        <v>1449.090909090909</v>
      </c>
      <c r="F18" s="46">
        <f>INT(E18*C18)</f>
        <v>6231</v>
      </c>
      <c r="G18" s="46"/>
      <c r="H18" s="46"/>
      <c r="I18" s="46"/>
      <c r="J18" s="46"/>
      <c r="K18" s="8">
        <f t="shared" si="2"/>
        <v>1449.090909090909</v>
      </c>
      <c r="L18" s="46">
        <f t="shared" si="2"/>
        <v>6231</v>
      </c>
      <c r="M18" s="75" t="str">
        <f>M6</f>
        <v>2022.01 거래가격 P.1435</v>
      </c>
      <c r="O18" s="76"/>
      <c r="P18" s="76"/>
      <c r="Q18" s="76"/>
      <c r="R18" s="76"/>
      <c r="S18" s="76"/>
    </row>
    <row r="19" spans="1:13" s="78" customFormat="1" ht="24" customHeight="1">
      <c r="A19" s="53" t="s">
        <v>45</v>
      </c>
      <c r="B19" s="44" t="s">
        <v>48</v>
      </c>
      <c r="C19" s="43">
        <v>0.24</v>
      </c>
      <c r="D19" s="45" t="s">
        <v>34</v>
      </c>
      <c r="E19" s="46">
        <f>F18</f>
        <v>6231</v>
      </c>
      <c r="F19" s="46">
        <f>INT(E19*C19)</f>
        <v>1495</v>
      </c>
      <c r="G19" s="46"/>
      <c r="H19" s="46"/>
      <c r="I19" s="46"/>
      <c r="J19" s="46"/>
      <c r="K19" s="8">
        <f t="shared" si="2"/>
        <v>6231</v>
      </c>
      <c r="L19" s="46">
        <f t="shared" si="2"/>
        <v>1495</v>
      </c>
      <c r="M19" s="77"/>
    </row>
    <row r="20" spans="1:13" s="78" customFormat="1" ht="24" customHeight="1">
      <c r="A20" s="53" t="s">
        <v>62</v>
      </c>
      <c r="B20" s="44"/>
      <c r="C20" s="79">
        <f>((1/8)*(16/12)*(25/20))</f>
        <v>0.20833333333333331</v>
      </c>
      <c r="D20" s="45" t="s">
        <v>64</v>
      </c>
      <c r="E20" s="46"/>
      <c r="F20" s="46"/>
      <c r="G20" s="46">
        <f>G27</f>
        <v>140351</v>
      </c>
      <c r="H20" s="46">
        <f>C20*G20</f>
        <v>29239.791666666664</v>
      </c>
      <c r="I20" s="46"/>
      <c r="J20" s="46"/>
      <c r="K20" s="8">
        <f t="shared" si="2"/>
        <v>140351</v>
      </c>
      <c r="L20" s="46">
        <f t="shared" si="2"/>
        <v>29239.791666666664</v>
      </c>
      <c r="M20" s="80" t="s">
        <v>74</v>
      </c>
    </row>
    <row r="21" spans="1:13" ht="24" customHeight="1">
      <c r="A21" s="56" t="s">
        <v>59</v>
      </c>
      <c r="B21" s="57"/>
      <c r="C21" s="43"/>
      <c r="D21" s="45"/>
      <c r="E21" s="46"/>
      <c r="F21" s="58">
        <f>SUM(F17:F20)</f>
        <v>7726</v>
      </c>
      <c r="G21" s="46"/>
      <c r="H21" s="58">
        <f>SUM(H17:H20)</f>
        <v>29239.791666666664</v>
      </c>
      <c r="I21" s="46"/>
      <c r="J21" s="58">
        <f>SUM(J17:J20)</f>
        <v>3090</v>
      </c>
      <c r="K21" s="46"/>
      <c r="L21" s="58">
        <f>SUM(L17:L20)</f>
        <v>40055.791666666664</v>
      </c>
      <c r="M21" s="59"/>
    </row>
    <row r="22" spans="1:13" ht="24" customHeight="1">
      <c r="A22" s="193" t="s">
        <v>54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</row>
    <row r="23" spans="1:13" ht="24" customHeight="1">
      <c r="A23" s="83" t="s">
        <v>39</v>
      </c>
      <c r="B23" s="70" t="str">
        <f>base!B14</f>
        <v>2022.1.1기준</v>
      </c>
      <c r="C23" s="71">
        <v>1</v>
      </c>
      <c r="D23" s="72" t="s">
        <v>82</v>
      </c>
      <c r="E23" s="8"/>
      <c r="F23" s="8">
        <v>0</v>
      </c>
      <c r="G23" s="8">
        <f>base!E14</f>
        <v>187435</v>
      </c>
      <c r="H23" s="8">
        <f>C23*G23</f>
        <v>187435</v>
      </c>
      <c r="I23" s="8"/>
      <c r="J23" s="8"/>
      <c r="K23" s="8">
        <f>SUM(E23,G23,I23)</f>
        <v>187435</v>
      </c>
      <c r="L23" s="8">
        <f>F23+H23+J23</f>
        <v>187435</v>
      </c>
      <c r="M23" s="54"/>
    </row>
    <row r="24" spans="1:13" ht="24" customHeight="1">
      <c r="A24" s="83" t="s">
        <v>33</v>
      </c>
      <c r="B24" s="70" t="str">
        <f>B23</f>
        <v>2022.1.1기준</v>
      </c>
      <c r="C24" s="71">
        <v>1</v>
      </c>
      <c r="D24" s="72" t="s">
        <v>82</v>
      </c>
      <c r="E24" s="8"/>
      <c r="F24" s="8">
        <v>0</v>
      </c>
      <c r="G24" s="8">
        <f>base!E15</f>
        <v>148510</v>
      </c>
      <c r="H24" s="8">
        <f>C24*G24</f>
        <v>148510</v>
      </c>
      <c r="I24" s="8"/>
      <c r="J24" s="8"/>
      <c r="K24" s="8">
        <f>SUM(E24,G24,I24)</f>
        <v>148510</v>
      </c>
      <c r="L24" s="8">
        <f>F24+H24+J24</f>
        <v>148510</v>
      </c>
      <c r="M24" s="55"/>
    </row>
    <row r="25" spans="1:13" ht="24" customHeight="1">
      <c r="A25" s="84" t="s">
        <v>67</v>
      </c>
      <c r="B25" s="70" t="str">
        <f>B24</f>
        <v>2022.1.1기준</v>
      </c>
      <c r="C25" s="71">
        <v>1</v>
      </c>
      <c r="D25" s="72" t="s">
        <v>68</v>
      </c>
      <c r="E25" s="8"/>
      <c r="F25" s="8">
        <f>C25*E25</f>
        <v>0</v>
      </c>
      <c r="G25" s="8">
        <f>base!E19</f>
        <v>229676</v>
      </c>
      <c r="H25" s="8">
        <f>C25*G25</f>
        <v>229676</v>
      </c>
      <c r="I25" s="8"/>
      <c r="J25" s="8"/>
      <c r="K25" s="8">
        <f>SUM(E25,G25,I25)</f>
        <v>229676</v>
      </c>
      <c r="L25" s="8">
        <f>F25+H25+J25</f>
        <v>229676</v>
      </c>
      <c r="M25" s="54"/>
    </row>
    <row r="26" spans="1:13" ht="24" customHeight="1">
      <c r="A26" s="83" t="s">
        <v>69</v>
      </c>
      <c r="B26" s="70" t="str">
        <f>B24</f>
        <v>2022.1.1기준</v>
      </c>
      <c r="C26" s="71">
        <v>1</v>
      </c>
      <c r="D26" s="72" t="s">
        <v>68</v>
      </c>
      <c r="E26" s="8"/>
      <c r="F26" s="8">
        <f>C26*E26</f>
        <v>0</v>
      </c>
      <c r="G26" s="8">
        <f>base!E18</f>
        <v>190297</v>
      </c>
      <c r="H26" s="8">
        <f>C26*G26</f>
        <v>190297</v>
      </c>
      <c r="I26" s="8"/>
      <c r="J26" s="8"/>
      <c r="K26" s="8">
        <f>SUM(E26,G26,I26)</f>
        <v>190297</v>
      </c>
      <c r="L26" s="8">
        <f>F26+H26+J26</f>
        <v>190297</v>
      </c>
      <c r="M26" s="54"/>
    </row>
    <row r="27" spans="1:13" ht="24" customHeight="1">
      <c r="A27" s="85" t="s">
        <v>70</v>
      </c>
      <c r="B27" s="86" t="str">
        <f>B25</f>
        <v>2022.1.1기준</v>
      </c>
      <c r="C27" s="87">
        <v>1</v>
      </c>
      <c r="D27" s="88" t="s">
        <v>68</v>
      </c>
      <c r="E27" s="89"/>
      <c r="F27" s="89">
        <f>C27*E27</f>
        <v>0</v>
      </c>
      <c r="G27" s="89">
        <f>base!E17</f>
        <v>140351</v>
      </c>
      <c r="H27" s="89">
        <f>C27*G27</f>
        <v>140351</v>
      </c>
      <c r="I27" s="89"/>
      <c r="J27" s="89"/>
      <c r="K27" s="89">
        <f>SUM(E27,G27,I27)</f>
        <v>140351</v>
      </c>
      <c r="L27" s="89">
        <f>F27+H27+J27</f>
        <v>140351</v>
      </c>
      <c r="M27" s="90"/>
    </row>
    <row r="28" ht="24.75" customHeight="1"/>
  </sheetData>
  <sheetProtection/>
  <mergeCells count="13">
    <mergeCell ref="B1:B2"/>
    <mergeCell ref="C1:C2"/>
    <mergeCell ref="M1:M2"/>
    <mergeCell ref="E1:F1"/>
    <mergeCell ref="G1:H1"/>
    <mergeCell ref="I1:J1"/>
    <mergeCell ref="A22:M22"/>
    <mergeCell ref="A10:M10"/>
    <mergeCell ref="D1:D2"/>
    <mergeCell ref="A3:M3"/>
    <mergeCell ref="K1:L1"/>
    <mergeCell ref="A16:M16"/>
    <mergeCell ref="A1:A2"/>
  </mergeCells>
  <printOptions/>
  <pageMargins left="0.4724409448818898" right="0.2362204724409449" top="0.8661417322834646" bottom="0.1968503937007874" header="0.4330708661417323" footer="0.15748031496062992"/>
  <pageSetup horizontalDpi="300" verticalDpi="300" orientation="landscape" paperSize="9" scale="78" r:id="rId1"/>
  <headerFooter alignWithMargins="0">
    <oddHeader>&amp;C&amp;"굴림체,굵게"&amp;16기    본    대    가    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28"/>
    </sheetView>
  </sheetViews>
  <sheetFormatPr defaultColWidth="8.88671875" defaultRowHeight="13.5"/>
  <cols>
    <col min="1" max="1" width="11.6640625" style="94" bestFit="1" customWidth="1"/>
    <col min="2" max="2" width="9.88671875" style="94" bestFit="1" customWidth="1"/>
    <col min="3" max="3" width="10.10546875" style="94" bestFit="1" customWidth="1"/>
    <col min="4" max="4" width="8.88671875" style="94" customWidth="1"/>
    <col min="5" max="5" width="9.3359375" style="94" bestFit="1" customWidth="1"/>
    <col min="6" max="6" width="8.77734375" style="94" bestFit="1" customWidth="1"/>
    <col min="7" max="7" width="11.10546875" style="94" bestFit="1" customWidth="1"/>
    <col min="8" max="8" width="10.77734375" style="94" bestFit="1" customWidth="1"/>
    <col min="9" max="16384" width="8.88671875" style="94" customWidth="1"/>
  </cols>
  <sheetData>
    <row r="1" spans="1:5" ht="16.5">
      <c r="A1" s="200" t="s">
        <v>150</v>
      </c>
      <c r="B1" s="201"/>
      <c r="D1" s="200" t="s">
        <v>151</v>
      </c>
      <c r="E1" s="201"/>
    </row>
    <row r="2" spans="1:5" ht="16.5">
      <c r="A2" s="95" t="s">
        <v>83</v>
      </c>
      <c r="B2" s="152" t="s">
        <v>84</v>
      </c>
      <c r="D2" s="95" t="s">
        <v>83</v>
      </c>
      <c r="E2" s="152" t="s">
        <v>84</v>
      </c>
    </row>
    <row r="3" spans="1:5" ht="16.5">
      <c r="A3" s="96">
        <v>2022</v>
      </c>
      <c r="B3" s="97">
        <v>795</v>
      </c>
      <c r="D3" s="96">
        <v>2022</v>
      </c>
      <c r="E3" s="97">
        <v>266</v>
      </c>
    </row>
    <row r="5" spans="1:9" ht="16.5">
      <c r="A5" s="202" t="s">
        <v>152</v>
      </c>
      <c r="B5" s="203"/>
      <c r="C5" s="203"/>
      <c r="D5" s="203"/>
      <c r="E5" s="203"/>
      <c r="F5" s="203"/>
      <c r="G5" s="203"/>
      <c r="H5" s="203"/>
      <c r="I5" s="204"/>
    </row>
    <row r="6" spans="1:13" ht="16.5">
      <c r="A6" s="95" t="s">
        <v>136</v>
      </c>
      <c r="B6" s="151" t="s">
        <v>137</v>
      </c>
      <c r="C6" s="151" t="s">
        <v>153</v>
      </c>
      <c r="D6" s="151" t="s">
        <v>154</v>
      </c>
      <c r="E6" s="151" t="s">
        <v>155</v>
      </c>
      <c r="F6" s="151" t="s">
        <v>156</v>
      </c>
      <c r="G6" s="151" t="s">
        <v>144</v>
      </c>
      <c r="H6" s="205" t="s">
        <v>157</v>
      </c>
      <c r="I6" s="206"/>
      <c r="J6" s="98"/>
      <c r="K6" s="98"/>
      <c r="L6" s="98"/>
      <c r="M6" s="98"/>
    </row>
    <row r="7" spans="1:13" ht="16.5">
      <c r="A7" s="95">
        <v>2022</v>
      </c>
      <c r="B7" s="211" t="s">
        <v>170</v>
      </c>
      <c r="C7" s="151" t="s">
        <v>158</v>
      </c>
      <c r="D7" s="99">
        <v>25</v>
      </c>
      <c r="E7" s="151">
        <v>4.3</v>
      </c>
      <c r="F7" s="151">
        <v>24</v>
      </c>
      <c r="G7" s="100">
        <v>13085000</v>
      </c>
      <c r="H7" s="101">
        <v>2362</v>
      </c>
      <c r="I7" s="102">
        <v>1E-07</v>
      </c>
      <c r="J7" s="98"/>
      <c r="K7" s="98"/>
      <c r="L7" s="98"/>
      <c r="M7" s="98"/>
    </row>
    <row r="8" spans="1:13" ht="16.5">
      <c r="A8" s="95">
        <v>2022</v>
      </c>
      <c r="B8" s="211" t="s">
        <v>171</v>
      </c>
      <c r="C8" s="151" t="s">
        <v>159</v>
      </c>
      <c r="D8" s="103">
        <f>15.24/2.54</f>
        <v>6</v>
      </c>
      <c r="E8" s="151"/>
      <c r="F8" s="151"/>
      <c r="G8" s="100">
        <v>786000</v>
      </c>
      <c r="H8" s="101">
        <v>5268</v>
      </c>
      <c r="I8" s="102">
        <v>1E-07</v>
      </c>
      <c r="J8" s="98"/>
      <c r="K8" s="98"/>
      <c r="L8" s="98"/>
      <c r="M8" s="98"/>
    </row>
    <row r="9" spans="1:13" ht="16.5">
      <c r="A9" s="95">
        <v>2022</v>
      </c>
      <c r="B9" s="211" t="s">
        <v>172</v>
      </c>
      <c r="C9" s="151" t="s">
        <v>160</v>
      </c>
      <c r="D9" s="104">
        <v>0.6</v>
      </c>
      <c r="E9" s="151">
        <v>11.6</v>
      </c>
      <c r="F9" s="151">
        <v>24</v>
      </c>
      <c r="G9" s="100">
        <v>109114000</v>
      </c>
      <c r="H9" s="101">
        <v>2279</v>
      </c>
      <c r="I9" s="102">
        <v>1E-07</v>
      </c>
      <c r="J9" s="153"/>
      <c r="K9" s="98"/>
      <c r="L9" s="98"/>
      <c r="M9" s="98"/>
    </row>
    <row r="10" spans="1:13" ht="16.5">
      <c r="A10" s="95">
        <v>2022</v>
      </c>
      <c r="B10" s="211" t="s">
        <v>173</v>
      </c>
      <c r="C10" s="151" t="s">
        <v>145</v>
      </c>
      <c r="D10" s="104">
        <v>0.6</v>
      </c>
      <c r="E10" s="151"/>
      <c r="F10" s="151"/>
      <c r="G10" s="100">
        <v>12812000</v>
      </c>
      <c r="H10" s="101">
        <v>6601</v>
      </c>
      <c r="I10" s="102">
        <v>1E-07</v>
      </c>
      <c r="J10" s="153"/>
      <c r="K10" s="98"/>
      <c r="L10" s="98"/>
      <c r="M10" s="98"/>
    </row>
    <row r="11" spans="1:13" ht="16.5">
      <c r="A11" s="96">
        <v>2022</v>
      </c>
      <c r="B11" s="212" t="s">
        <v>174</v>
      </c>
      <c r="C11" s="105" t="s">
        <v>146</v>
      </c>
      <c r="D11" s="106">
        <v>2.5</v>
      </c>
      <c r="E11" s="105">
        <v>2.9</v>
      </c>
      <c r="F11" s="105">
        <v>38</v>
      </c>
      <c r="G11" s="107">
        <v>20105000</v>
      </c>
      <c r="H11" s="108">
        <v>2967</v>
      </c>
      <c r="I11" s="109">
        <v>1E-07</v>
      </c>
      <c r="J11" s="98"/>
      <c r="K11" s="98"/>
      <c r="L11" s="98"/>
      <c r="M11" s="98"/>
    </row>
    <row r="12" spans="1:13" ht="16.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6.5">
      <c r="A13" s="207" t="s">
        <v>138</v>
      </c>
      <c r="B13" s="208"/>
      <c r="C13" s="208"/>
      <c r="D13" s="208"/>
      <c r="E13" s="209"/>
      <c r="F13" s="98"/>
      <c r="G13" s="98"/>
      <c r="H13" s="98"/>
      <c r="I13" s="98"/>
      <c r="J13" s="98"/>
      <c r="K13" s="98"/>
      <c r="L13" s="98"/>
      <c r="M13" s="98"/>
    </row>
    <row r="14" spans="1:13" ht="16.5">
      <c r="A14" s="110" t="s">
        <v>85</v>
      </c>
      <c r="B14" s="111" t="s">
        <v>175</v>
      </c>
      <c r="C14" s="112">
        <v>1</v>
      </c>
      <c r="D14" s="113" t="s">
        <v>82</v>
      </c>
      <c r="E14" s="114">
        <v>187435</v>
      </c>
      <c r="F14" s="98"/>
      <c r="G14" s="213"/>
      <c r="H14" s="98"/>
      <c r="I14" s="98"/>
      <c r="J14" s="98"/>
      <c r="K14" s="98"/>
      <c r="L14" s="98"/>
      <c r="M14" s="98"/>
    </row>
    <row r="15" spans="1:13" ht="16.5">
      <c r="A15" s="110" t="s">
        <v>86</v>
      </c>
      <c r="B15" s="111" t="s">
        <v>176</v>
      </c>
      <c r="C15" s="112">
        <v>1</v>
      </c>
      <c r="D15" s="113" t="s">
        <v>82</v>
      </c>
      <c r="E15" s="114">
        <v>148510</v>
      </c>
      <c r="F15" s="98"/>
      <c r="G15" s="213"/>
      <c r="H15" s="98"/>
      <c r="I15" s="98"/>
      <c r="J15" s="98"/>
      <c r="K15" s="98"/>
      <c r="L15" s="98"/>
      <c r="M15" s="98"/>
    </row>
    <row r="16" spans="1:13" ht="16.5">
      <c r="A16" s="110" t="s">
        <v>87</v>
      </c>
      <c r="B16" s="111" t="s">
        <v>176</v>
      </c>
      <c r="C16" s="112">
        <v>1</v>
      </c>
      <c r="D16" s="113" t="s">
        <v>82</v>
      </c>
      <c r="E16" s="114">
        <v>214374</v>
      </c>
      <c r="F16" s="98"/>
      <c r="G16" s="213"/>
      <c r="H16" s="98"/>
      <c r="I16" s="98"/>
      <c r="J16" s="98"/>
      <c r="K16" s="98"/>
      <c r="L16" s="98"/>
      <c r="M16" s="98"/>
    </row>
    <row r="17" spans="1:11" ht="16.5">
      <c r="A17" s="110" t="s">
        <v>88</v>
      </c>
      <c r="B17" s="111" t="s">
        <v>176</v>
      </c>
      <c r="C17" s="112">
        <v>1</v>
      </c>
      <c r="D17" s="113" t="s">
        <v>82</v>
      </c>
      <c r="E17" s="114">
        <v>140351</v>
      </c>
      <c r="F17" s="115"/>
      <c r="G17" s="214"/>
      <c r="H17" s="115"/>
      <c r="I17" s="115"/>
      <c r="J17" s="115"/>
      <c r="K17" s="115"/>
    </row>
    <row r="18" spans="1:11" ht="16.5">
      <c r="A18" s="110" t="s">
        <v>57</v>
      </c>
      <c r="B18" s="111" t="s">
        <v>176</v>
      </c>
      <c r="C18" s="112">
        <v>1</v>
      </c>
      <c r="D18" s="113" t="s">
        <v>82</v>
      </c>
      <c r="E18" s="114">
        <v>190297</v>
      </c>
      <c r="F18" s="115"/>
      <c r="G18" s="214"/>
      <c r="H18" s="115"/>
      <c r="I18" s="115"/>
      <c r="J18" s="115"/>
      <c r="K18" s="115"/>
    </row>
    <row r="19" spans="1:7" ht="16.5">
      <c r="A19" s="116" t="s">
        <v>161</v>
      </c>
      <c r="B19" s="117" t="s">
        <v>176</v>
      </c>
      <c r="C19" s="118">
        <v>1</v>
      </c>
      <c r="D19" s="119" t="s">
        <v>82</v>
      </c>
      <c r="E19" s="120">
        <v>229676</v>
      </c>
      <c r="G19" s="214"/>
    </row>
    <row r="21" spans="1:7" ht="16.5">
      <c r="A21" s="121" t="s">
        <v>147</v>
      </c>
      <c r="B21" s="122"/>
      <c r="C21" s="122"/>
      <c r="D21" s="122"/>
      <c r="E21" s="122"/>
      <c r="F21" s="122"/>
      <c r="G21" s="123"/>
    </row>
    <row r="22" spans="1:7" ht="16.5">
      <c r="A22" s="95" t="s">
        <v>136</v>
      </c>
      <c r="B22" s="151" t="s">
        <v>162</v>
      </c>
      <c r="C22" s="151" t="s">
        <v>139</v>
      </c>
      <c r="D22" s="124" t="s">
        <v>137</v>
      </c>
      <c r="E22" s="151" t="s">
        <v>140</v>
      </c>
      <c r="F22" s="151" t="s">
        <v>154</v>
      </c>
      <c r="G22" s="152" t="s">
        <v>163</v>
      </c>
    </row>
    <row r="23" spans="1:10" ht="16.5" customHeight="1">
      <c r="A23" s="95">
        <v>2022</v>
      </c>
      <c r="B23" s="151">
        <v>1</v>
      </c>
      <c r="C23" s="151" t="s">
        <v>164</v>
      </c>
      <c r="D23" s="125">
        <v>1322</v>
      </c>
      <c r="E23" s="151" t="s">
        <v>148</v>
      </c>
      <c r="F23" s="103">
        <f>17.78/2.54</f>
        <v>7</v>
      </c>
      <c r="G23" s="114">
        <f>147000+60000+60000</f>
        <v>267000</v>
      </c>
      <c r="H23" s="199" t="s">
        <v>141</v>
      </c>
      <c r="I23" s="210" t="s">
        <v>165</v>
      </c>
      <c r="J23" s="126"/>
    </row>
    <row r="24" spans="1:9" ht="16.5">
      <c r="A24" s="95">
        <v>2022</v>
      </c>
      <c r="B24" s="125">
        <f>B23</f>
        <v>1</v>
      </c>
      <c r="C24" s="151" t="s">
        <v>164</v>
      </c>
      <c r="D24" s="125">
        <f>D23</f>
        <v>1322</v>
      </c>
      <c r="E24" s="151" t="s">
        <v>148</v>
      </c>
      <c r="F24" s="103">
        <f>15.24/2.54</f>
        <v>6</v>
      </c>
      <c r="G24" s="114">
        <f>118000+38000+24000</f>
        <v>180000</v>
      </c>
      <c r="H24" s="199"/>
      <c r="I24" s="210"/>
    </row>
    <row r="25" spans="1:9" ht="16.5">
      <c r="A25" s="95">
        <v>2022</v>
      </c>
      <c r="B25" s="125">
        <f>B24</f>
        <v>1</v>
      </c>
      <c r="C25" s="151" t="s">
        <v>164</v>
      </c>
      <c r="D25" s="125">
        <f>D24</f>
        <v>1322</v>
      </c>
      <c r="E25" s="151" t="s">
        <v>148</v>
      </c>
      <c r="F25" s="103">
        <f>2.54/2.54</f>
        <v>1</v>
      </c>
      <c r="G25" s="114">
        <f>26000+6500+9100</f>
        <v>41600</v>
      </c>
      <c r="H25" s="126" t="s">
        <v>166</v>
      </c>
      <c r="I25" s="210"/>
    </row>
    <row r="26" spans="1:7" ht="16.5">
      <c r="A26" s="96">
        <v>2022</v>
      </c>
      <c r="B26" s="105">
        <f>B25</f>
        <v>1</v>
      </c>
      <c r="C26" s="105" t="s">
        <v>167</v>
      </c>
      <c r="D26" s="127">
        <v>1435</v>
      </c>
      <c r="E26" s="105" t="s">
        <v>168</v>
      </c>
      <c r="F26" s="128" t="s">
        <v>149</v>
      </c>
      <c r="G26" s="120">
        <f>1594/1.1</f>
        <v>1449.090909090909</v>
      </c>
    </row>
  </sheetData>
  <sheetProtection/>
  <mergeCells count="7">
    <mergeCell ref="H23:H24"/>
    <mergeCell ref="A1:B1"/>
    <mergeCell ref="A5:I5"/>
    <mergeCell ref="H6:I6"/>
    <mergeCell ref="A13:E13"/>
    <mergeCell ref="D1:E1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SHY</cp:lastModifiedBy>
  <cp:lastPrinted>2015-02-09T06:09:26Z</cp:lastPrinted>
  <dcterms:created xsi:type="dcterms:W3CDTF">2001-04-21T04:10:40Z</dcterms:created>
  <dcterms:modified xsi:type="dcterms:W3CDTF">2022-02-15T05:39:41Z</dcterms:modified>
  <cp:category/>
  <cp:version/>
  <cp:contentType/>
  <cp:contentStatus/>
</cp:coreProperties>
</file>