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9300" tabRatio="853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'기본대가'!$A$1:$M$27</definedName>
    <definedName name="_xlnm.Print_Area" localSheetId="1">'일위대가'!$A$1:$M$69</definedName>
    <definedName name="_xlnm.Print_Area" localSheetId="0">'표지'!#REF!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<sst xmlns="http://schemas.openxmlformats.org/spreadsheetml/2006/main" count="351" uniqueCount="183">
  <si>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</si>
  <si>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</si>
  <si>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</si>
  <si>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</si>
  <si>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</si>
  <si>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</si>
  <si>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</si>
  <si>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</si>
  <si>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</si>
  <si>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</si>
  <si>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</si>
  <si>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</si>
  <si>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</si>
  <si>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</si>
  <si>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합   계</t>
  </si>
  <si>
    <t>비  고</t>
  </si>
  <si>
    <t>단  가</t>
  </si>
  <si>
    <t>금  액</t>
  </si>
  <si>
    <t>인</t>
  </si>
  <si>
    <t>* "m"당 단가 :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</si>
  <si>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</si>
  <si>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</si>
  <si>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</si>
  <si>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</si>
  <si>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</si>
  <si>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</si>
  <si>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</si>
  <si>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</si>
  <si>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</si>
  <si>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</si>
  <si>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</si>
  <si>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백호(브레이커 포함)</t>
  </si>
  <si>
    <t>hr</t>
  </si>
  <si>
    <t>보통인부</t>
  </si>
  <si>
    <t>식</t>
  </si>
  <si>
    <t>잡재료비</t>
  </si>
  <si>
    <t>식</t>
  </si>
  <si>
    <t>계</t>
  </si>
  <si>
    <t>인력품의 3%</t>
  </si>
  <si>
    <t>특별인부</t>
  </si>
  <si>
    <t>계</t>
  </si>
  <si>
    <r>
      <t>0.6m</t>
    </r>
    <r>
      <rPr>
        <vertAlign val="superscript"/>
        <sz val="10"/>
        <rFont val="굴림"/>
        <family val="3"/>
      </rPr>
      <t>3</t>
    </r>
  </si>
  <si>
    <t>대형브레이커</t>
  </si>
  <si>
    <t>경유</t>
  </si>
  <si>
    <t>l</t>
  </si>
  <si>
    <t>잡재료</t>
  </si>
  <si>
    <r>
      <t>0.6m</t>
    </r>
    <r>
      <rPr>
        <vertAlign val="superscript"/>
        <sz val="10"/>
        <rFont val="굴림"/>
        <family val="3"/>
      </rPr>
      <t>3</t>
    </r>
  </si>
  <si>
    <t>소계(설치비)</t>
  </si>
  <si>
    <t>주연료의 24%</t>
  </si>
  <si>
    <t>건설기계운전사</t>
  </si>
  <si>
    <t>1일기준시간x상여계수x휴지계수=(1/8)x(16/12)x(25/20)</t>
  </si>
  <si>
    <r>
      <t xml:space="preserve"> * 제1호표 : 굴삭기(타이어, 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 대형브레이커 포함)-'시간'당</t>
    </r>
  </si>
  <si>
    <t>지      주</t>
  </si>
  <si>
    <t>(02)3436-6450</t>
  </si>
  <si>
    <t xml:space="preserve"> * 노임단가</t>
  </si>
  <si>
    <t>2.5TON</t>
  </si>
  <si>
    <t>hr</t>
  </si>
  <si>
    <t>화물차운전사</t>
  </si>
  <si>
    <t>인</t>
  </si>
  <si>
    <t>계</t>
  </si>
  <si>
    <t>발전기</t>
  </si>
  <si>
    <t>25kw</t>
  </si>
  <si>
    <t>일반기계운전사</t>
  </si>
  <si>
    <t xml:space="preserve"> * 제2호표 : 덤프트럭(2.5ton)-'시간'당</t>
  </si>
  <si>
    <t>인</t>
  </si>
  <si>
    <t xml:space="preserve"> * 제3호표 : 발전기(25kw)-'시간'당</t>
  </si>
  <si>
    <t>덤프</t>
  </si>
  <si>
    <t>건설기계운전사</t>
  </si>
  <si>
    <t>일</t>
  </si>
  <si>
    <t>화물차운전사</t>
  </si>
  <si>
    <t>일반기계운전사</t>
  </si>
  <si>
    <t>발전기</t>
  </si>
  <si>
    <t>25kw</t>
  </si>
  <si>
    <t>hr</t>
  </si>
  <si>
    <t>1일기준시간x상여계수x휴지계수=(1/8)x(16/12)x(25/20)</t>
  </si>
  <si>
    <t>덤프트럭</t>
  </si>
  <si>
    <t>2.5ton</t>
  </si>
  <si>
    <t>주연료의 38%</t>
  </si>
  <si>
    <t>유압식백호</t>
  </si>
  <si>
    <t>hr</t>
  </si>
  <si>
    <t>0.001W% S</t>
  </si>
  <si>
    <t>l</t>
  </si>
  <si>
    <t>일</t>
  </si>
  <si>
    <t>연도</t>
  </si>
  <si>
    <t>페이지</t>
  </si>
  <si>
    <t>특별인부</t>
  </si>
  <si>
    <t>보통인부</t>
  </si>
  <si>
    <t>철골공</t>
  </si>
  <si>
    <t>일반기계운전사</t>
  </si>
  <si>
    <t>규격</t>
  </si>
  <si>
    <t>수량</t>
  </si>
  <si>
    <t>단위</t>
  </si>
  <si>
    <t>경    비</t>
  </si>
  <si>
    <t>금  액</t>
  </si>
  <si>
    <t>단  가</t>
  </si>
  <si>
    <t>보강지주</t>
  </si>
  <si>
    <t>아연도금 또는 분체도장 가능 (선택사항)</t>
  </si>
  <si>
    <t>셋트</t>
  </si>
  <si>
    <t>소계(제품비)</t>
  </si>
  <si>
    <t xml:space="preserve">Φ139.8×4.3t×2500  </t>
  </si>
  <si>
    <t>본</t>
  </si>
  <si>
    <t>Φ125×4.3t×700</t>
  </si>
  <si>
    <t>본</t>
  </si>
  <si>
    <t>3Way레일</t>
  </si>
  <si>
    <t>460×3.2t×4330</t>
  </si>
  <si>
    <t>장</t>
  </si>
  <si>
    <t>2Way레일</t>
  </si>
  <si>
    <t>350×4t×4330</t>
  </si>
  <si>
    <t>개</t>
  </si>
  <si>
    <t>블럭아웃</t>
  </si>
  <si>
    <t>260×4.0t×245</t>
  </si>
  <si>
    <t>개</t>
  </si>
  <si>
    <t>Φ76.3×80.7</t>
  </si>
  <si>
    <t>지주캡</t>
  </si>
  <si>
    <t>Φ139.8용</t>
  </si>
  <si>
    <t>블럭아웃고정볼트</t>
  </si>
  <si>
    <t>M19×250</t>
  </si>
  <si>
    <t>셋트</t>
  </si>
  <si>
    <t>블럭아웃고정볼트</t>
  </si>
  <si>
    <t>M19×180</t>
  </si>
  <si>
    <t>고정볼트</t>
  </si>
  <si>
    <t>M18×50</t>
  </si>
  <si>
    <t>셋트</t>
  </si>
  <si>
    <t>레일연결볼트</t>
  </si>
  <si>
    <t>M16×33</t>
  </si>
  <si>
    <t>/  2m  =</t>
  </si>
  <si>
    <t>주연료의 24%</t>
  </si>
  <si>
    <t>표 준 형  가 드 레 일 [2WAY+3WAY] - 성토부 비탈면용</t>
  </si>
  <si>
    <t>2. 단부(표준형 [2WAY+3WAY] H1210 노측용) 설치공사 "개소"당 (성토부 비탈면 구간) - 라운드레일</t>
  </si>
  <si>
    <t>1. 표준형 가드레일 [2WAY+3WAY] - 노측용 (H1210xW2000-SB5-B등급)설치공사 "경간"당 (성토부 비탈면 구간)</t>
  </si>
  <si>
    <t>3Way 라운드레일</t>
  </si>
  <si>
    <t>2Way 라운드레일</t>
  </si>
  <si>
    <t>350×4t×965</t>
  </si>
  <si>
    <t>인</t>
  </si>
  <si>
    <t>3. 단부(표준형 [2WAY+3WAY] H1210 노측용) 설치공사 "개소"당 (성토부 비탈면 구간) - 엔드레일</t>
  </si>
  <si>
    <t>460×3.2t×965</t>
  </si>
  <si>
    <t>460×3.2t×865</t>
  </si>
  <si>
    <t>3Way 엔드레일</t>
  </si>
  <si>
    <t>2Way 엔드레일</t>
  </si>
  <si>
    <t>350×4t×765</t>
  </si>
  <si>
    <t xml:space="preserve"> 정도산업㈜ </t>
  </si>
  <si>
    <t>1577-8549</t>
  </si>
  <si>
    <t>거래가격</t>
  </si>
  <si>
    <t>표준구간의 50%</t>
  </si>
  <si>
    <t xml:space="preserve"> * 건설표준품셈</t>
  </si>
  <si>
    <t xml:space="preserve"> * 거래가격</t>
  </si>
  <si>
    <t>연도</t>
  </si>
  <si>
    <t>규격</t>
  </si>
  <si>
    <t>잡재료(%)</t>
  </si>
  <si>
    <t>발전기</t>
  </si>
  <si>
    <t>굴삭기</t>
  </si>
  <si>
    <t>대형브레이커</t>
  </si>
  <si>
    <t>덤프트럭</t>
  </si>
  <si>
    <t xml:space="preserve"> * 노임단가</t>
  </si>
  <si>
    <t>건설기계운전사</t>
  </si>
  <si>
    <t xml:space="preserve"> * 재료단가</t>
  </si>
  <si>
    <t>월</t>
  </si>
  <si>
    <t>재료명</t>
  </si>
  <si>
    <t>3단코어비트</t>
  </si>
  <si>
    <t>중분대 항타용</t>
  </si>
  <si>
    <t>옹벽용</t>
  </si>
  <si>
    <t>거래가격</t>
  </si>
  <si>
    <t>0.001W% S</t>
  </si>
  <si>
    <t xml:space="preserve"> * 장비단가</t>
  </si>
  <si>
    <t>페이지</t>
  </si>
  <si>
    <t>공종</t>
  </si>
  <si>
    <t>주연료(l/hr)</t>
  </si>
  <si>
    <t>장비가격(천원)</t>
  </si>
  <si>
    <t>손료</t>
  </si>
  <si>
    <t>코어드릴</t>
  </si>
  <si>
    <t>물가지</t>
  </si>
  <si>
    <t>금액</t>
  </si>
  <si>
    <t>거래가격</t>
  </si>
  <si>
    <t>비트+튜브+커플링</t>
  </si>
  <si>
    <t>경유</t>
  </si>
  <si>
    <t>2022년  월  일</t>
  </si>
  <si>
    <t>691,712,730</t>
  </si>
  <si>
    <t>681,727</t>
  </si>
  <si>
    <t>651,702,718</t>
  </si>
  <si>
    <t>652,718</t>
  </si>
  <si>
    <t>655,703,719</t>
  </si>
  <si>
    <t>2022.1.1기준</t>
  </si>
  <si>
    <t>2022.1.1기준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</si>
</sst>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000_ "/>
    <numFmt numFmtId="210" formatCode="0.0;[Red]0.0"/>
    <numFmt numFmtId="211" formatCode="[$-412]yyyy&quot;년&quot;\ m&quot;월&quot;\ d&quot;일&quot;\ dddd"/>
    <numFmt numFmtId="212" formatCode="[$-412]AM/PM\ h:mm:ss"/>
    <numFmt numFmtId="213" formatCode="_-&quot;₩&quot;* #,##0.000_-;\-&quot;₩&quot;* #,##0.000_-;_-&quot;₩&quot;* &quot;-&quot;???_-;_-@_-"/>
    <numFmt numFmtId="214" formatCode="0&quot; kw&quot;"/>
    <numFmt numFmtId="215" formatCode="#,###,"/>
    <numFmt numFmtId="216" formatCode="0&quot; inch&quot;"/>
    <numFmt numFmtId="217" formatCode="0.0\ &quot;㎥&quot;"/>
    <numFmt numFmtId="218" formatCode="0.0\ &quot;ton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9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1"/>
      <name val="굴림"/>
      <family val="3"/>
    </font>
    <font>
      <sz val="9"/>
      <name val="굴림"/>
      <family val="3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9" applyNumberFormat="1" applyFont="1" applyBorder="1" applyAlignment="1">
      <alignment horizontal="left" vertical="center"/>
      <protection/>
    </xf>
    <xf numFmtId="0" fontId="6" fillId="0" borderId="0" xfId="79" applyFont="1" applyBorder="1" applyAlignment="1">
      <alignment vertical="center"/>
      <protection/>
    </xf>
    <xf numFmtId="0" fontId="6" fillId="0" borderId="0" xfId="79" applyFont="1" applyBorder="1" applyAlignment="1">
      <alignment horizontal="left" vertical="center"/>
      <protection/>
    </xf>
    <xf numFmtId="0" fontId="6" fillId="0" borderId="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vertical="center"/>
      <protection/>
    </xf>
    <xf numFmtId="0" fontId="1" fillId="0" borderId="0" xfId="79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14" fillId="0" borderId="0" xfId="79" applyFont="1" applyBorder="1" applyAlignment="1">
      <alignment vertical="center"/>
      <protection/>
    </xf>
    <xf numFmtId="0" fontId="13" fillId="0" borderId="0" xfId="79" applyFont="1" applyBorder="1" applyAlignment="1">
      <alignment vertical="center"/>
      <protection/>
    </xf>
    <xf numFmtId="178" fontId="16" fillId="0" borderId="14" xfId="80" applyNumberFormat="1" applyFont="1" applyBorder="1" applyAlignment="1">
      <alignment horizontal="centerContinuous" vertical="center"/>
      <protection/>
    </xf>
    <xf numFmtId="41" fontId="16" fillId="0" borderId="15" xfId="51" applyFont="1" applyBorder="1" applyAlignment="1">
      <alignment horizontal="centerContinuous" vertical="center"/>
    </xf>
    <xf numFmtId="41" fontId="16" fillId="0" borderId="16" xfId="51" applyFont="1" applyBorder="1" applyAlignment="1">
      <alignment horizontal="centerContinuous" vertical="center"/>
    </xf>
    <xf numFmtId="41" fontId="16" fillId="0" borderId="17" xfId="51" applyFont="1" applyBorder="1" applyAlignment="1">
      <alignment horizontal="centerContinuous" vertical="center"/>
    </xf>
    <xf numFmtId="178" fontId="16" fillId="0" borderId="17" xfId="80" applyNumberFormat="1" applyFont="1" applyBorder="1" applyAlignment="1">
      <alignment horizontal="centerContinuous" vertical="center"/>
      <protection/>
    </xf>
    <xf numFmtId="41" fontId="16" fillId="0" borderId="18" xfId="51" applyFont="1" applyBorder="1" applyAlignment="1">
      <alignment horizontal="centerContinuous" vertical="center"/>
    </xf>
    <xf numFmtId="41" fontId="16" fillId="0" borderId="18" xfId="51" applyFont="1" applyBorder="1" applyAlignment="1">
      <alignment horizontal="center" vertical="center"/>
    </xf>
    <xf numFmtId="41" fontId="16" fillId="0" borderId="18" xfId="51" applyFont="1" applyBorder="1" applyAlignment="1">
      <alignment horizontal="right" vertical="center"/>
    </xf>
    <xf numFmtId="41" fontId="16" fillId="0" borderId="19" xfId="51" applyFont="1" applyBorder="1" applyAlignment="1">
      <alignment horizontal="center" vertical="center"/>
    </xf>
    <xf numFmtId="41" fontId="17" fillId="0" borderId="0" xfId="51" applyFont="1" applyBorder="1" applyAlignment="1">
      <alignment horizontal="center" vertical="center"/>
    </xf>
    <xf numFmtId="178" fontId="17" fillId="0" borderId="0" xfId="80" applyNumberFormat="1" applyFont="1" applyBorder="1" applyAlignment="1">
      <alignment horizontal="center" vertical="center"/>
      <protection/>
    </xf>
    <xf numFmtId="41" fontId="16" fillId="0" borderId="12" xfId="51" applyFont="1" applyBorder="1" applyAlignment="1">
      <alignment horizontal="center" vertical="center"/>
    </xf>
    <xf numFmtId="41" fontId="16" fillId="0" borderId="12" xfId="51" applyFont="1" applyBorder="1" applyAlignment="1">
      <alignment horizontal="right" vertical="center"/>
    </xf>
    <xf numFmtId="41" fontId="16" fillId="0" borderId="20" xfId="51" applyFont="1" applyBorder="1" applyAlignment="1">
      <alignment horizontal="right" vertical="center"/>
    </xf>
    <xf numFmtId="178" fontId="18" fillId="0" borderId="21" xfId="80" applyNumberFormat="1" applyFont="1" applyBorder="1" applyAlignment="1">
      <alignment horizontal="center"/>
      <protection/>
    </xf>
    <xf numFmtId="178" fontId="18" fillId="0" borderId="0" xfId="80" applyNumberFormat="1" applyFont="1" applyBorder="1" applyAlignment="1">
      <alignment horizontal="center"/>
      <protection/>
    </xf>
    <xf numFmtId="178" fontId="18" fillId="0" borderId="22" xfId="80" applyNumberFormat="1" applyFont="1" applyBorder="1" applyAlignment="1">
      <alignment horizontal="center"/>
      <protection/>
    </xf>
    <xf numFmtId="178" fontId="18" fillId="0" borderId="23" xfId="80" applyNumberFormat="1" applyFont="1" applyBorder="1" applyAlignment="1">
      <alignment horizontal="center"/>
      <protection/>
    </xf>
    <xf numFmtId="178" fontId="17" fillId="0" borderId="21" xfId="80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4" fillId="0" borderId="20" xfId="51" applyFont="1" applyBorder="1" applyAlignment="1">
      <alignment vertical="center"/>
    </xf>
    <xf numFmtId="41" fontId="5" fillId="0" borderId="0" xfId="79" applyNumberFormat="1" applyFont="1" applyBorder="1" applyAlignment="1">
      <alignment vertical="center"/>
      <protection/>
    </xf>
    <xf numFmtId="49" fontId="6" fillId="0" borderId="20" xfId="0" applyNumberFormat="1" applyFont="1" applyBorder="1" applyAlignment="1">
      <alignment horizontal="left" vertical="center"/>
    </xf>
    <xf numFmtId="43" fontId="5" fillId="0" borderId="0" xfId="79" applyNumberFormat="1" applyFont="1" applyBorder="1" applyAlignment="1">
      <alignment vertical="center"/>
      <protection/>
    </xf>
    <xf numFmtId="0" fontId="5" fillId="0" borderId="12" xfId="79" applyFont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210" fontId="5" fillId="0" borderId="1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20" xfId="79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49" fontId="5" fillId="0" borderId="20" xfId="77" applyNumberFormat="1" applyFont="1" applyBorder="1" applyAlignment="1">
      <alignment horizontal="left" vertical="center"/>
      <protection/>
    </xf>
    <xf numFmtId="0" fontId="5" fillId="0" borderId="20" xfId="79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6" fillId="0" borderId="20" xfId="79" applyFont="1" applyFill="1" applyBorder="1" applyAlignment="1">
      <alignment vertical="center"/>
      <protection/>
    </xf>
    <xf numFmtId="187" fontId="20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vertical="center"/>
    </xf>
    <xf numFmtId="187" fontId="4" fillId="0" borderId="0" xfId="51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 shrinkToFit="1"/>
    </xf>
    <xf numFmtId="187" fontId="24" fillId="0" borderId="0" xfId="0" applyNumberFormat="1" applyFont="1" applyBorder="1" applyAlignment="1">
      <alignment horizontal="left" vertical="center" wrapText="1" shrinkToFit="1"/>
    </xf>
    <xf numFmtId="187" fontId="1" fillId="0" borderId="0" xfId="0" applyNumberFormat="1" applyFont="1" applyBorder="1" applyAlignment="1">
      <alignment horizontal="left" vertical="center"/>
    </xf>
    <xf numFmtId="187" fontId="6" fillId="0" borderId="0" xfId="51" applyNumberFormat="1" applyFont="1" applyBorder="1" applyAlignment="1">
      <alignment horizontal="left" vertical="center"/>
    </xf>
    <xf numFmtId="0" fontId="5" fillId="0" borderId="12" xfId="78" applyFont="1" applyBorder="1" applyAlignment="1">
      <alignment horizontal="left" vertical="center" shrinkToFit="1"/>
      <protection/>
    </xf>
    <xf numFmtId="0" fontId="5" fillId="0" borderId="12" xfId="78" applyFont="1" applyBorder="1" applyAlignment="1">
      <alignment vertical="center"/>
      <protection/>
    </xf>
    <xf numFmtId="0" fontId="5" fillId="0" borderId="12" xfId="78" applyFont="1" applyBorder="1" applyAlignment="1">
      <alignment horizontal="center" vertical="center"/>
      <protection/>
    </xf>
    <xf numFmtId="0" fontId="5" fillId="0" borderId="0" xfId="79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9" applyFont="1" applyFill="1" applyBorder="1" applyAlignment="1">
      <alignment horizontal="center" vertical="center"/>
      <protection/>
    </xf>
    <xf numFmtId="0" fontId="25" fillId="0" borderId="20" xfId="79" applyFont="1" applyBorder="1" applyAlignment="1">
      <alignment vertical="center"/>
      <protection/>
    </xf>
    <xf numFmtId="0" fontId="6" fillId="0" borderId="0" xfId="79" applyFont="1" applyFill="1" applyBorder="1" applyAlignment="1">
      <alignment vertical="center"/>
      <protection/>
    </xf>
    <xf numFmtId="206" fontId="5" fillId="0" borderId="12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8" applyFont="1" applyBorder="1" applyAlignment="1">
      <alignment horizontal="left" vertical="center" wrapText="1"/>
      <protection/>
    </xf>
    <xf numFmtId="41" fontId="5" fillId="0" borderId="12" xfId="51" applyFont="1" applyBorder="1" applyAlignment="1">
      <alignment horizontal="center" vertical="center"/>
    </xf>
    <xf numFmtId="0" fontId="5" fillId="0" borderId="13" xfId="78" applyFont="1" applyBorder="1" applyAlignment="1">
      <alignment vertical="center"/>
      <protection/>
    </xf>
    <xf numFmtId="0" fontId="5" fillId="0" borderId="13" xfId="78" applyFont="1" applyFill="1" applyBorder="1" applyAlignment="1">
      <alignment vertical="center"/>
      <protection/>
    </xf>
    <xf numFmtId="0" fontId="5" fillId="0" borderId="24" xfId="78" applyFont="1" applyBorder="1" applyAlignment="1">
      <alignment vertical="center"/>
      <protection/>
    </xf>
    <xf numFmtId="0" fontId="5" fillId="0" borderId="25" xfId="78" applyFont="1" applyBorder="1" applyAlignment="1">
      <alignment horizontal="left" vertical="center" shrinkToFit="1"/>
      <protection/>
    </xf>
    <xf numFmtId="0" fontId="5" fillId="0" borderId="25" xfId="78" applyFont="1" applyBorder="1" applyAlignment="1">
      <alignment vertical="center"/>
      <protection/>
    </xf>
    <xf numFmtId="0" fontId="5" fillId="0" borderId="25" xfId="78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9" applyFont="1" applyBorder="1" applyAlignment="1">
      <alignment vertical="center"/>
      <protection/>
    </xf>
    <xf numFmtId="41" fontId="1" fillId="0" borderId="25" xfId="0" applyNumberFormat="1" applyFont="1" applyBorder="1" applyAlignment="1">
      <alignment horizontal="left" vertical="center"/>
    </xf>
    <xf numFmtId="203" fontId="5" fillId="0" borderId="12" xfId="0" applyNumberFormat="1" applyFont="1" applyBorder="1" applyAlignment="1">
      <alignment horizontal="right" vertical="center"/>
    </xf>
    <xf numFmtId="187" fontId="5" fillId="0" borderId="0" xfId="51" applyNumberFormat="1" applyFont="1" applyFill="1" applyBorder="1" applyAlignment="1">
      <alignment horizontal="left" vertical="center"/>
    </xf>
    <xf numFmtId="41" fontId="5" fillId="0" borderId="0" xfId="79" applyNumberFormat="1" applyFont="1" applyFill="1" applyBorder="1" applyAlignment="1">
      <alignment vertical="center"/>
      <protection/>
    </xf>
    <xf numFmtId="0" fontId="49" fillId="0" borderId="0" xfId="75">
      <alignment vertical="center"/>
      <protection/>
    </xf>
    <xf numFmtId="0" fontId="66" fillId="0" borderId="13" xfId="75" applyFont="1" applyBorder="1" applyAlignment="1">
      <alignment horizontal="center" vertical="center"/>
      <protection/>
    </xf>
    <xf numFmtId="0" fontId="66" fillId="0" borderId="24" xfId="75" applyFont="1" applyBorder="1" applyAlignment="1">
      <alignment horizontal="center" vertical="center"/>
      <protection/>
    </xf>
    <xf numFmtId="0" fontId="66" fillId="0" borderId="26" xfId="75" applyFont="1" applyBorder="1" applyAlignment="1">
      <alignment horizontal="center" vertical="center"/>
      <protection/>
    </xf>
    <xf numFmtId="0" fontId="66" fillId="0" borderId="0" xfId="75" applyFont="1">
      <alignment vertical="center"/>
      <protection/>
    </xf>
    <xf numFmtId="214" fontId="66" fillId="0" borderId="12" xfId="75" applyNumberFormat="1" applyFont="1" applyBorder="1" applyAlignment="1">
      <alignment horizontal="center" vertical="center"/>
      <protection/>
    </xf>
    <xf numFmtId="215" fontId="66" fillId="0" borderId="12" xfId="75" applyNumberFormat="1" applyFont="1" applyBorder="1" applyAlignment="1">
      <alignment horizontal="center" vertical="center"/>
      <protection/>
    </xf>
    <xf numFmtId="3" fontId="66" fillId="0" borderId="12" xfId="75" applyNumberFormat="1" applyFont="1" applyBorder="1" applyAlignment="1">
      <alignment horizontal="center" vertical="center"/>
      <protection/>
    </xf>
    <xf numFmtId="11" fontId="66" fillId="0" borderId="20" xfId="75" applyNumberFormat="1" applyFont="1" applyBorder="1" applyAlignment="1">
      <alignment horizontal="center" vertical="center"/>
      <protection/>
    </xf>
    <xf numFmtId="216" fontId="66" fillId="0" borderId="12" xfId="75" applyNumberFormat="1" applyFont="1" applyBorder="1" applyAlignment="1">
      <alignment horizontal="center" vertical="center"/>
      <protection/>
    </xf>
    <xf numFmtId="217" fontId="66" fillId="0" borderId="12" xfId="75" applyNumberFormat="1" applyFont="1" applyBorder="1" applyAlignment="1">
      <alignment horizontal="center" vertical="center"/>
      <protection/>
    </xf>
    <xf numFmtId="0" fontId="66" fillId="0" borderId="25" xfId="75" applyFont="1" applyBorder="1" applyAlignment="1">
      <alignment horizontal="center" vertical="center"/>
      <protection/>
    </xf>
    <xf numFmtId="218" fontId="66" fillId="0" borderId="25" xfId="75" applyNumberFormat="1" applyFont="1" applyBorder="1" applyAlignment="1">
      <alignment horizontal="center" vertical="center"/>
      <protection/>
    </xf>
    <xf numFmtId="215" fontId="66" fillId="0" borderId="25" xfId="75" applyNumberFormat="1" applyFont="1" applyBorder="1" applyAlignment="1">
      <alignment horizontal="center" vertical="center"/>
      <protection/>
    </xf>
    <xf numFmtId="3" fontId="66" fillId="0" borderId="25" xfId="75" applyNumberFormat="1" applyFont="1" applyBorder="1" applyAlignment="1">
      <alignment horizontal="center" vertical="center"/>
      <protection/>
    </xf>
    <xf numFmtId="11" fontId="66" fillId="0" borderId="26" xfId="75" applyNumberFormat="1" applyFont="1" applyBorder="1" applyAlignment="1">
      <alignment horizontal="center" vertical="center"/>
      <protection/>
    </xf>
    <xf numFmtId="0" fontId="28" fillId="0" borderId="13" xfId="78" applyFont="1" applyBorder="1" applyAlignment="1">
      <alignment vertical="center"/>
      <protection/>
    </xf>
    <xf numFmtId="0" fontId="28" fillId="0" borderId="12" xfId="78" applyFont="1" applyBorder="1" applyAlignment="1">
      <alignment horizontal="center" vertical="center" shrinkToFit="1"/>
      <protection/>
    </xf>
    <xf numFmtId="0" fontId="28" fillId="0" borderId="12" xfId="78" applyFont="1" applyBorder="1" applyAlignment="1">
      <alignment vertical="center"/>
      <protection/>
    </xf>
    <xf numFmtId="0" fontId="28" fillId="0" borderId="12" xfId="78" applyFont="1" applyBorder="1" applyAlignment="1">
      <alignment horizontal="center" vertical="center"/>
      <protection/>
    </xf>
    <xf numFmtId="41" fontId="28" fillId="0" borderId="20" xfId="53" applyFont="1" applyBorder="1" applyAlignment="1">
      <alignment vertical="center"/>
    </xf>
    <xf numFmtId="0" fontId="0" fillId="0" borderId="0" xfId="76">
      <alignment/>
      <protection/>
    </xf>
    <xf numFmtId="0" fontId="28" fillId="0" borderId="24" xfId="78" applyFont="1" applyFill="1" applyBorder="1" applyAlignment="1">
      <alignment vertical="center"/>
      <protection/>
    </xf>
    <xf numFmtId="0" fontId="28" fillId="0" borderId="25" xfId="78" applyFont="1" applyBorder="1" applyAlignment="1">
      <alignment horizontal="center" vertical="center" shrinkToFit="1"/>
      <protection/>
    </xf>
    <xf numFmtId="0" fontId="28" fillId="0" borderId="25" xfId="78" applyFont="1" applyBorder="1" applyAlignment="1">
      <alignment vertical="center"/>
      <protection/>
    </xf>
    <xf numFmtId="0" fontId="28" fillId="0" borderId="25" xfId="78" applyFont="1" applyBorder="1" applyAlignment="1">
      <alignment horizontal="center" vertical="center"/>
      <protection/>
    </xf>
    <xf numFmtId="41" fontId="28" fillId="0" borderId="26" xfId="53" applyFont="1" applyBorder="1" applyAlignment="1">
      <alignment vertical="center"/>
    </xf>
    <xf numFmtId="0" fontId="67" fillId="0" borderId="27" xfId="75" applyFont="1" applyBorder="1" applyAlignment="1">
      <alignment vertical="center"/>
      <protection/>
    </xf>
    <xf numFmtId="0" fontId="67" fillId="0" borderId="18" xfId="75" applyFont="1" applyBorder="1" applyAlignment="1">
      <alignment vertical="center"/>
      <protection/>
    </xf>
    <xf numFmtId="0" fontId="67" fillId="0" borderId="19" xfId="75" applyFont="1" applyBorder="1" applyAlignment="1">
      <alignment vertical="center"/>
      <protection/>
    </xf>
    <xf numFmtId="0" fontId="28" fillId="0" borderId="12" xfId="78" applyFont="1" applyFill="1" applyBorder="1" applyAlignment="1">
      <alignment horizontal="center" vertical="center"/>
      <protection/>
    </xf>
    <xf numFmtId="0" fontId="68" fillId="0" borderId="12" xfId="75" applyFont="1" applyBorder="1" applyAlignment="1">
      <alignment horizontal="center" vertical="center"/>
      <protection/>
    </xf>
    <xf numFmtId="0" fontId="68" fillId="0" borderId="0" xfId="75" applyFont="1" applyAlignment="1">
      <alignment horizontal="center" vertical="center"/>
      <protection/>
    </xf>
    <xf numFmtId="0" fontId="68" fillId="0" borderId="25" xfId="75" applyFont="1" applyBorder="1" applyAlignment="1">
      <alignment horizontal="center" vertical="center"/>
      <protection/>
    </xf>
    <xf numFmtId="216" fontId="66" fillId="0" borderId="25" xfId="75" applyNumberFormat="1" applyFont="1" applyBorder="1" applyAlignment="1">
      <alignment horizontal="center" vertical="center"/>
      <protection/>
    </xf>
    <xf numFmtId="41" fontId="5" fillId="0" borderId="20" xfId="51" applyFont="1" applyBorder="1" applyAlignment="1">
      <alignment vertical="center"/>
    </xf>
    <xf numFmtId="0" fontId="6" fillId="0" borderId="20" xfId="51" applyNumberFormat="1" applyFont="1" applyBorder="1" applyAlignment="1">
      <alignment vertical="center"/>
    </xf>
    <xf numFmtId="9" fontId="5" fillId="0" borderId="0" xfId="46" applyFont="1" applyBorder="1" applyAlignment="1">
      <alignment vertical="center"/>
    </xf>
    <xf numFmtId="10" fontId="6" fillId="0" borderId="20" xfId="51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shrinkToFit="1"/>
    </xf>
    <xf numFmtId="192" fontId="5" fillId="0" borderId="12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41" fontId="5" fillId="0" borderId="12" xfId="51" applyFont="1" applyFill="1" applyBorder="1" applyAlignment="1">
      <alignment horizontal="center" vertical="center"/>
    </xf>
    <xf numFmtId="188" fontId="5" fillId="0" borderId="12" xfId="51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41" fontId="6" fillId="0" borderId="0" xfId="51" applyFont="1" applyFill="1" applyBorder="1" applyAlignment="1">
      <alignment vertical="center"/>
    </xf>
    <xf numFmtId="41" fontId="4" fillId="0" borderId="0" xfId="51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0" fontId="66" fillId="0" borderId="12" xfId="75" applyFont="1" applyBorder="1" applyAlignment="1">
      <alignment horizontal="center" vertical="center"/>
      <protection/>
    </xf>
    <xf numFmtId="0" fontId="66" fillId="0" borderId="20" xfId="75" applyFont="1" applyBorder="1" applyAlignment="1">
      <alignment horizontal="center" vertical="center"/>
      <protection/>
    </xf>
    <xf numFmtId="0" fontId="66" fillId="0" borderId="0" xfId="75" applyFont="1" applyBorder="1" applyAlignment="1">
      <alignment vertical="center"/>
      <protection/>
    </xf>
    <xf numFmtId="178" fontId="16" fillId="0" borderId="28" xfId="80" applyNumberFormat="1" applyFont="1" applyBorder="1" applyAlignment="1">
      <alignment horizontal="center" vertical="center"/>
      <protection/>
    </xf>
    <xf numFmtId="178" fontId="16" fillId="0" borderId="29" xfId="80" applyNumberFormat="1" applyFont="1" applyBorder="1" applyAlignment="1">
      <alignment horizontal="center" vertical="center"/>
      <protection/>
    </xf>
    <xf numFmtId="178" fontId="16" fillId="0" borderId="30" xfId="80" applyNumberFormat="1" applyFont="1" applyBorder="1" applyAlignment="1">
      <alignment horizontal="center" vertical="center"/>
      <protection/>
    </xf>
    <xf numFmtId="41" fontId="16" fillId="0" borderId="31" xfId="51" applyFont="1" applyBorder="1" applyAlignment="1">
      <alignment horizontal="center" vertical="center"/>
    </xf>
    <xf numFmtId="41" fontId="16" fillId="0" borderId="30" xfId="51" applyFont="1" applyBorder="1" applyAlignment="1">
      <alignment horizontal="center" vertical="center"/>
    </xf>
    <xf numFmtId="178" fontId="17" fillId="0" borderId="21" xfId="80" applyNumberFormat="1" applyFont="1" applyBorder="1" applyAlignment="1">
      <alignment horizontal="center" vertical="center"/>
      <protection/>
    </xf>
    <xf numFmtId="178" fontId="17" fillId="0" borderId="0" xfId="80" applyNumberFormat="1" applyFont="1" applyBorder="1" applyAlignment="1">
      <alignment horizontal="center" vertical="center"/>
      <protection/>
    </xf>
    <xf numFmtId="178" fontId="17" fillId="0" borderId="32" xfId="80" applyNumberFormat="1" applyFont="1" applyBorder="1" applyAlignment="1">
      <alignment horizontal="center" vertical="center"/>
      <protection/>
    </xf>
    <xf numFmtId="178" fontId="17" fillId="0" borderId="33" xfId="80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41" fontId="17" fillId="0" borderId="34" xfId="51" applyFont="1" applyBorder="1" applyAlignment="1">
      <alignment horizontal="center" vertical="center"/>
    </xf>
    <xf numFmtId="41" fontId="17" fillId="0" borderId="33" xfId="51" applyFont="1" applyBorder="1" applyAlignment="1">
      <alignment horizontal="center" vertical="center"/>
    </xf>
    <xf numFmtId="41" fontId="19" fillId="0" borderId="21" xfId="51" applyFont="1" applyBorder="1" applyAlignment="1">
      <alignment horizontal="left" vertical="top"/>
    </xf>
    <xf numFmtId="41" fontId="19" fillId="0" borderId="0" xfId="51" applyFont="1" applyBorder="1" applyAlignment="1">
      <alignment horizontal="left" vertical="top"/>
    </xf>
    <xf numFmtId="41" fontId="19" fillId="0" borderId="23" xfId="51" applyFont="1" applyBorder="1" applyAlignment="1">
      <alignment horizontal="left" vertical="top"/>
    </xf>
    <xf numFmtId="178" fontId="18" fillId="0" borderId="35" xfId="80" applyNumberFormat="1" applyFont="1" applyBorder="1" applyAlignment="1">
      <alignment/>
      <protection/>
    </xf>
    <xf numFmtId="178" fontId="18" fillId="0" borderId="36" xfId="80" applyNumberFormat="1" applyFont="1" applyBorder="1" applyAlignment="1">
      <alignment/>
      <protection/>
    </xf>
    <xf numFmtId="178" fontId="18" fillId="0" borderId="37" xfId="80" applyNumberFormat="1" applyFont="1" applyBorder="1" applyAlignment="1">
      <alignment/>
      <protection/>
    </xf>
    <xf numFmtId="178" fontId="18" fillId="0" borderId="21" xfId="80" applyNumberFormat="1" applyFont="1" applyBorder="1" applyAlignment="1">
      <alignment/>
      <protection/>
    </xf>
    <xf numFmtId="178" fontId="18" fillId="0" borderId="0" xfId="80" applyNumberFormat="1" applyFont="1" applyBorder="1" applyAlignment="1">
      <alignment/>
      <protection/>
    </xf>
    <xf numFmtId="178" fontId="18" fillId="0" borderId="23" xfId="80" applyNumberFormat="1" applyFont="1" applyBorder="1" applyAlignment="1">
      <alignment/>
      <protection/>
    </xf>
    <xf numFmtId="178" fontId="21" fillId="0" borderId="21" xfId="80" applyNumberFormat="1" applyFont="1" applyBorder="1" applyAlignment="1">
      <alignment horizontal="center" vertical="center"/>
      <protection/>
    </xf>
    <xf numFmtId="178" fontId="21" fillId="0" borderId="0" xfId="80" applyNumberFormat="1" applyFont="1" applyBorder="1" applyAlignment="1">
      <alignment horizontal="center" vertical="center"/>
      <protection/>
    </xf>
    <xf numFmtId="178" fontId="21" fillId="0" borderId="23" xfId="80" applyNumberFormat="1" applyFont="1" applyBorder="1" applyAlignment="1">
      <alignment horizontal="center" vertical="center"/>
      <protection/>
    </xf>
    <xf numFmtId="41" fontId="1" fillId="0" borderId="25" xfId="0" applyNumberFormat="1" applyFont="1" applyBorder="1" applyAlignment="1">
      <alignment horizontal="center" vertical="center"/>
    </xf>
    <xf numFmtId="41" fontId="5" fillId="0" borderId="12" xfId="5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5" fillId="0" borderId="20" xfId="5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0" fillId="0" borderId="27" xfId="0" applyNumberFormat="1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5" fillId="0" borderId="13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0" fontId="4" fillId="0" borderId="13" xfId="77" applyFont="1" applyBorder="1" applyAlignment="1">
      <alignment vertical="center"/>
      <protection/>
    </xf>
    <xf numFmtId="0" fontId="4" fillId="0" borderId="12" xfId="77" applyFont="1" applyBorder="1" applyAlignment="1">
      <alignment vertical="center"/>
      <protection/>
    </xf>
    <xf numFmtId="0" fontId="4" fillId="0" borderId="20" xfId="77" applyFont="1" applyBorder="1" applyAlignment="1">
      <alignment vertical="center"/>
      <protection/>
    </xf>
    <xf numFmtId="0" fontId="5" fillId="0" borderId="18" xfId="79" applyFont="1" applyBorder="1" applyAlignment="1">
      <alignment horizontal="center" vertical="center"/>
      <protection/>
    </xf>
    <xf numFmtId="41" fontId="5" fillId="0" borderId="18" xfId="51" applyFont="1" applyBorder="1" applyAlignment="1">
      <alignment horizontal="center" vertical="center"/>
    </xf>
    <xf numFmtId="0" fontId="5" fillId="0" borderId="27" xfId="79" applyFont="1" applyBorder="1" applyAlignment="1">
      <alignment horizontal="center" vertical="center"/>
      <protection/>
    </xf>
    <xf numFmtId="41" fontId="5" fillId="0" borderId="19" xfId="51" applyFont="1" applyBorder="1" applyAlignment="1">
      <alignment horizontal="center" vertical="center"/>
    </xf>
    <xf numFmtId="0" fontId="68" fillId="0" borderId="21" xfId="75" applyFont="1" applyBorder="1" applyAlignment="1">
      <alignment horizontal="center" vertical="center"/>
      <protection/>
    </xf>
    <xf numFmtId="0" fontId="67" fillId="0" borderId="38" xfId="75" applyFont="1" applyBorder="1" applyAlignment="1">
      <alignment vertical="center"/>
      <protection/>
    </xf>
    <xf numFmtId="0" fontId="67" fillId="0" borderId="39" xfId="75" applyFont="1" applyBorder="1" applyAlignment="1">
      <alignment vertical="center"/>
      <protection/>
    </xf>
    <xf numFmtId="0" fontId="67" fillId="0" borderId="38" xfId="75" applyFont="1" applyBorder="1" applyAlignment="1">
      <alignment horizontal="left" vertical="center"/>
      <protection/>
    </xf>
    <xf numFmtId="0" fontId="67" fillId="0" borderId="40" xfId="75" applyFont="1" applyBorder="1" applyAlignment="1">
      <alignment horizontal="left" vertical="center"/>
      <protection/>
    </xf>
    <xf numFmtId="0" fontId="67" fillId="0" borderId="39" xfId="75" applyFont="1" applyBorder="1" applyAlignment="1">
      <alignment horizontal="left" vertical="center"/>
      <protection/>
    </xf>
    <xf numFmtId="0" fontId="66" fillId="0" borderId="31" xfId="75" applyFont="1" applyBorder="1" applyAlignment="1">
      <alignment horizontal="center" vertical="center"/>
      <protection/>
    </xf>
    <xf numFmtId="0" fontId="66" fillId="0" borderId="41" xfId="75" applyFont="1" applyBorder="1" applyAlignment="1">
      <alignment horizontal="center" vertical="center"/>
      <protection/>
    </xf>
    <xf numFmtId="0" fontId="27" fillId="0" borderId="38" xfId="78" applyFont="1" applyBorder="1" applyAlignment="1">
      <alignment vertical="center"/>
      <protection/>
    </xf>
    <xf numFmtId="0" fontId="27" fillId="0" borderId="40" xfId="78" applyFont="1" applyBorder="1" applyAlignment="1">
      <alignment vertical="center"/>
      <protection/>
    </xf>
    <xf numFmtId="0" fontId="27" fillId="0" borderId="39" xfId="78" applyFont="1" applyBorder="1" applyAlignment="1">
      <alignment vertical="center"/>
      <protection/>
    </xf>
    <xf numFmtId="0" fontId="68" fillId="0" borderId="0" xfId="75" applyFont="1" applyAlignment="1">
      <alignment horizontal="center" vertical="center" wrapText="1"/>
      <protection/>
    </xf>
    <xf numFmtId="3" fontId="66" fillId="0" borderId="12" xfId="75" applyNumberFormat="1" applyFont="1" applyBorder="1" applyAlignment="1" quotePrefix="1">
      <alignment horizontal="center" vertical="center"/>
      <protection/>
    </xf>
    <xf numFmtId="3" fontId="66" fillId="0" borderId="25" xfId="75" applyNumberFormat="1" applyFont="1" applyBorder="1" applyAlignment="1" quotePrefix="1">
      <alignment horizontal="center" vertical="center"/>
      <protection/>
    </xf>
    <xf numFmtId="3" fontId="66" fillId="0" borderId="0" xfId="75" applyNumberFormat="1" applyFont="1">
      <alignment vertical="center"/>
      <protection/>
    </xf>
    <xf numFmtId="3" fontId="0" fillId="0" borderId="0" xfId="76" applyNumberFormat="1">
      <alignment/>
      <protection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쉼표 [0] 3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동부" xfId="66"/>
    <cellStyle name="콤마[ ]" xfId="67"/>
    <cellStyle name="콤마[*]" xfId="68"/>
    <cellStyle name="콤마[.]" xfId="69"/>
    <cellStyle name="콤마[0]" xfId="70"/>
    <cellStyle name="콤마_동부" xfId="71"/>
    <cellStyle name="Currency" xfId="72"/>
    <cellStyle name="Currency [0]" xfId="73"/>
    <cellStyle name="표준 2" xfId="74"/>
    <cellStyle name="표준 2 2" xfId="75"/>
    <cellStyle name="표준 2 2 2" xfId="76"/>
    <cellStyle name="표준_노측방호책일위(아스콘)-950기초지주450" xfId="77"/>
    <cellStyle name="표준_노측방호책일위(아스콘)-950기초지주450 2" xfId="78"/>
    <cellStyle name="표준_설계서-2" xfId="79"/>
    <cellStyle name="표준_우리꽃길조성사업" xfId="80"/>
    <cellStyle name="Hyperlink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2" sqref="K12"/>
    </sheetView>
  </sheetViews>
  <sheetFormatPr defaultColWidth="8.88671875" defaultRowHeight="24.75" customHeight="1"/>
  <cols>
    <col min="1" max="1" width="8.99609375" style="27" customWidth="1"/>
    <col min="2" max="2" width="3.77734375" style="26" customWidth="1"/>
    <col min="3" max="3" width="0.9921875" style="27" customWidth="1"/>
    <col min="4" max="4" width="8.21484375" style="26" customWidth="1"/>
    <col min="5" max="5" width="4.99609375" style="27" customWidth="1"/>
    <col min="6" max="6" width="3.21484375" style="26" customWidth="1"/>
    <col min="7" max="7" width="9.5546875" style="26" customWidth="1"/>
    <col min="8" max="8" width="3.21484375" style="26" customWidth="1"/>
    <col min="9" max="9" width="6.4453125" style="26" customWidth="1"/>
    <col min="10" max="10" width="15.5546875" style="26" customWidth="1"/>
    <col min="11" max="11" width="16.88671875" style="26" customWidth="1"/>
    <col min="12" max="12" width="14.77734375" style="26" customWidth="1"/>
    <col min="13" max="13" width="8.88671875" style="26" customWidth="1"/>
    <col min="14" max="16384" width="8.88671875" style="27" customWidth="1"/>
  </cols>
  <sheetData>
    <row r="1" spans="1:12" ht="24.75" customHeight="1">
      <c r="A1" s="17" t="s">
        <v>0</v>
      </c>
      <c r="B1" s="18"/>
      <c r="C1" s="19"/>
      <c r="D1" s="20" t="s">
        <v>10</v>
      </c>
      <c r="E1" s="21"/>
      <c r="F1" s="22" t="s">
        <v>1</v>
      </c>
      <c r="G1" s="22"/>
      <c r="H1" s="22" t="s">
        <v>2</v>
      </c>
      <c r="I1" s="20"/>
      <c r="J1" s="23" t="s">
        <v>3</v>
      </c>
      <c r="K1" s="24" t="s">
        <v>4</v>
      </c>
      <c r="L1" s="25" t="s">
        <v>11</v>
      </c>
    </row>
    <row r="2" spans="1:12" ht="24.75" customHeight="1">
      <c r="A2" s="155"/>
      <c r="B2" s="156"/>
      <c r="C2" s="157"/>
      <c r="D2" s="158"/>
      <c r="E2" s="159"/>
      <c r="F2" s="158"/>
      <c r="G2" s="159"/>
      <c r="H2" s="158"/>
      <c r="I2" s="159"/>
      <c r="J2" s="28" t="s">
        <v>5</v>
      </c>
      <c r="K2" s="29" t="s">
        <v>4</v>
      </c>
      <c r="L2" s="30" t="s">
        <v>12</v>
      </c>
    </row>
    <row r="3" spans="1:12" ht="47.25" customHeight="1">
      <c r="A3" s="170" t="s">
        <v>13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3.5" customHeight="1" thickBo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1:12" ht="13.5" customHeight="1" thickTop="1">
      <c r="A5" s="31"/>
      <c r="B5" s="32"/>
      <c r="C5" s="32"/>
      <c r="D5" s="32"/>
      <c r="E5" s="32"/>
      <c r="F5" s="32"/>
      <c r="G5" s="33"/>
      <c r="H5" s="33"/>
      <c r="I5" s="33"/>
      <c r="J5" s="33"/>
      <c r="K5" s="32"/>
      <c r="L5" s="34"/>
    </row>
    <row r="6" spans="1:13" ht="24" customHeight="1">
      <c r="A6" s="176" t="str">
        <f>일위대가!A1</f>
        <v>표 준 형  가 드 레 일 [2WAY+3WAY] - 성토부 비탈면용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  <c r="M6" s="27"/>
    </row>
    <row r="7" spans="1:12" ht="24.75" customHeigh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2" ht="24.75" customHeight="1">
      <c r="A8" s="35"/>
      <c r="L8" s="36"/>
    </row>
    <row r="9" spans="1:12" ht="24.75" customHeight="1">
      <c r="A9" s="35"/>
      <c r="L9" s="36"/>
    </row>
    <row r="10" spans="1:12" ht="24.75" customHeight="1">
      <c r="A10" s="35"/>
      <c r="L10" s="36"/>
    </row>
    <row r="11" spans="1:12" ht="24.75" customHeight="1">
      <c r="A11" s="35"/>
      <c r="L11" s="36"/>
    </row>
    <row r="12" spans="1:12" ht="21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26" t="s">
        <v>8</v>
      </c>
      <c r="K12" s="26" t="s">
        <v>175</v>
      </c>
      <c r="L12" s="164"/>
    </row>
    <row r="13" spans="1:12" ht="21" customHeight="1">
      <c r="A13" s="160"/>
      <c r="B13" s="161"/>
      <c r="C13" s="161"/>
      <c r="D13" s="161"/>
      <c r="E13" s="161"/>
      <c r="F13" s="161"/>
      <c r="G13" s="161"/>
      <c r="H13" s="161"/>
      <c r="I13" s="161"/>
      <c r="J13" s="27" t="s">
        <v>6</v>
      </c>
      <c r="K13" s="26" t="s">
        <v>140</v>
      </c>
      <c r="L13" s="164"/>
    </row>
    <row r="14" spans="1:12" ht="21" customHeight="1">
      <c r="A14" s="160"/>
      <c r="B14" s="161"/>
      <c r="C14" s="161"/>
      <c r="D14" s="161"/>
      <c r="E14" s="161"/>
      <c r="F14" s="161"/>
      <c r="G14" s="161"/>
      <c r="H14" s="161"/>
      <c r="I14" s="161"/>
      <c r="J14" s="26" t="s">
        <v>7</v>
      </c>
      <c r="K14" s="26" t="s">
        <v>141</v>
      </c>
      <c r="L14" s="164"/>
    </row>
    <row r="15" spans="1:12" ht="21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26" t="s">
        <v>9</v>
      </c>
      <c r="K15" s="26" t="s">
        <v>53</v>
      </c>
      <c r="L15" s="164"/>
    </row>
    <row r="16" spans="1:12" ht="21" customHeight="1">
      <c r="A16" s="160"/>
      <c r="B16" s="161"/>
      <c r="C16" s="161"/>
      <c r="D16" s="161"/>
      <c r="E16" s="161"/>
      <c r="F16" s="161"/>
      <c r="G16" s="161"/>
      <c r="H16" s="161"/>
      <c r="I16" s="161"/>
      <c r="L16" s="164"/>
    </row>
    <row r="17" spans="1:12" ht="23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6"/>
      <c r="K17" s="166"/>
      <c r="L17" s="165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92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SheetLayoutView="100" workbookViewId="0" topLeftCell="A1">
      <selection activeCell="C22" sqref="C22"/>
    </sheetView>
  </sheetViews>
  <sheetFormatPr defaultColWidth="7.10546875" defaultRowHeight="15" customHeight="1"/>
  <cols>
    <col min="1" max="1" width="14.77734375" style="3" customWidth="1"/>
    <col min="2" max="2" width="18.88671875" style="4" customWidth="1"/>
    <col min="3" max="3" width="6.5546875" style="3" customWidth="1"/>
    <col min="4" max="4" width="4.77734375" style="5" customWidth="1"/>
    <col min="5" max="5" width="9.77734375" style="149" customWidth="1"/>
    <col min="6" max="12" width="9.77734375" style="1" customWidth="1"/>
    <col min="13" max="13" width="30.77734375" style="1" customWidth="1"/>
    <col min="14" max="14" width="5.6640625" style="70" customWidth="1"/>
    <col min="15" max="15" width="8.3359375" style="3" customWidth="1"/>
    <col min="16" max="16" width="9.77734375" style="3" customWidth="1"/>
    <col min="17" max="17" width="12.77734375" style="3" customWidth="1"/>
    <col min="18" max="16384" width="7.10546875" style="3" customWidth="1"/>
  </cols>
  <sheetData>
    <row r="1" spans="1:14" s="2" customFormat="1" ht="30" customHeight="1">
      <c r="A1" s="188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N1" s="61"/>
    </row>
    <row r="2" spans="1:14" ht="24.75" customHeight="1">
      <c r="A2" s="191" t="s">
        <v>20</v>
      </c>
      <c r="B2" s="192" t="s">
        <v>89</v>
      </c>
      <c r="C2" s="192" t="s">
        <v>90</v>
      </c>
      <c r="D2" s="192" t="s">
        <v>91</v>
      </c>
      <c r="E2" s="180" t="s">
        <v>24</v>
      </c>
      <c r="F2" s="180"/>
      <c r="G2" s="180" t="s">
        <v>25</v>
      </c>
      <c r="H2" s="180"/>
      <c r="I2" s="180" t="s">
        <v>92</v>
      </c>
      <c r="J2" s="180"/>
      <c r="K2" s="180" t="s">
        <v>14</v>
      </c>
      <c r="L2" s="180"/>
      <c r="M2" s="184" t="s">
        <v>15</v>
      </c>
      <c r="N2" s="62"/>
    </row>
    <row r="3" spans="1:14" ht="24.75" customHeight="1">
      <c r="A3" s="191"/>
      <c r="B3" s="192"/>
      <c r="C3" s="192"/>
      <c r="D3" s="192"/>
      <c r="E3" s="146" t="s">
        <v>16</v>
      </c>
      <c r="F3" s="83" t="s">
        <v>93</v>
      </c>
      <c r="G3" s="83" t="s">
        <v>16</v>
      </c>
      <c r="H3" s="83" t="s">
        <v>17</v>
      </c>
      <c r="I3" s="83" t="s">
        <v>94</v>
      </c>
      <c r="J3" s="83" t="s">
        <v>17</v>
      </c>
      <c r="K3" s="83" t="s">
        <v>16</v>
      </c>
      <c r="L3" s="83" t="s">
        <v>17</v>
      </c>
      <c r="M3" s="184"/>
      <c r="N3" s="62"/>
    </row>
    <row r="4" spans="1:14" s="6" customFormat="1" ht="24.75" customHeight="1">
      <c r="A4" s="185" t="s">
        <v>129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63"/>
    </row>
    <row r="5" spans="1:14" s="6" customFormat="1" ht="24.75" customHeight="1">
      <c r="A5" s="9" t="s">
        <v>52</v>
      </c>
      <c r="B5" s="135" t="s">
        <v>99</v>
      </c>
      <c r="C5" s="10">
        <v>1</v>
      </c>
      <c r="D5" s="11" t="s">
        <v>100</v>
      </c>
      <c r="E5" s="47">
        <v>83000</v>
      </c>
      <c r="F5" s="8">
        <f aca="true" t="shared" si="0" ref="F5:F15">INT(E5*C5)</f>
        <v>83000</v>
      </c>
      <c r="G5" s="8"/>
      <c r="H5" s="8"/>
      <c r="I5" s="8"/>
      <c r="J5" s="8"/>
      <c r="K5" s="8">
        <f aca="true" t="shared" si="1" ref="K5:L16">SUM(E5,G5,I5)</f>
        <v>83000</v>
      </c>
      <c r="L5" s="8">
        <f t="shared" si="1"/>
        <v>83000</v>
      </c>
      <c r="M5" s="131"/>
      <c r="N5" s="62"/>
    </row>
    <row r="6" spans="1:17" s="74" customFormat="1" ht="24.75" customHeight="1">
      <c r="A6" s="9" t="s">
        <v>95</v>
      </c>
      <c r="B6" s="135" t="s">
        <v>101</v>
      </c>
      <c r="C6" s="10">
        <v>1</v>
      </c>
      <c r="D6" s="11" t="s">
        <v>102</v>
      </c>
      <c r="E6" s="47">
        <v>22000</v>
      </c>
      <c r="F6" s="8">
        <f>INT(E6*C6)</f>
        <v>22000</v>
      </c>
      <c r="G6" s="8"/>
      <c r="H6" s="8"/>
      <c r="I6" s="8"/>
      <c r="J6" s="8"/>
      <c r="K6" s="8">
        <f t="shared" si="1"/>
        <v>22000</v>
      </c>
      <c r="L6" s="8">
        <f>SUM(F6,H6,J6)</f>
        <v>22000</v>
      </c>
      <c r="M6" s="131"/>
      <c r="N6" s="94"/>
      <c r="O6" s="6"/>
      <c r="P6" s="95"/>
      <c r="Q6" s="95"/>
    </row>
    <row r="7" spans="1:15" s="74" customFormat="1" ht="24.75" customHeight="1">
      <c r="A7" s="9" t="s">
        <v>103</v>
      </c>
      <c r="B7" s="135" t="s">
        <v>104</v>
      </c>
      <c r="C7" s="10">
        <v>0.5</v>
      </c>
      <c r="D7" s="11" t="s">
        <v>105</v>
      </c>
      <c r="E7" s="47">
        <v>147200</v>
      </c>
      <c r="F7" s="8">
        <f t="shared" si="0"/>
        <v>73600</v>
      </c>
      <c r="G7" s="8"/>
      <c r="H7" s="8"/>
      <c r="I7" s="8"/>
      <c r="J7" s="8"/>
      <c r="K7" s="8">
        <f t="shared" si="1"/>
        <v>147200</v>
      </c>
      <c r="L7" s="8">
        <f t="shared" si="1"/>
        <v>73600</v>
      </c>
      <c r="M7" s="134" t="s">
        <v>96</v>
      </c>
      <c r="N7" s="94"/>
      <c r="O7" s="6"/>
    </row>
    <row r="8" spans="1:15" s="74" customFormat="1" ht="24.75" customHeight="1">
      <c r="A8" s="9" t="s">
        <v>106</v>
      </c>
      <c r="B8" s="135" t="s">
        <v>107</v>
      </c>
      <c r="C8" s="10">
        <v>0.5</v>
      </c>
      <c r="D8" s="11" t="s">
        <v>108</v>
      </c>
      <c r="E8" s="47">
        <v>135000</v>
      </c>
      <c r="F8" s="8">
        <f>INT(E8*C8)</f>
        <v>67500</v>
      </c>
      <c r="G8" s="8"/>
      <c r="H8" s="8"/>
      <c r="I8" s="8"/>
      <c r="J8" s="8"/>
      <c r="K8" s="8">
        <f>SUM(E8,G8,I8)</f>
        <v>135000</v>
      </c>
      <c r="L8" s="8">
        <f>SUM(F8,H8,J8)</f>
        <v>67500</v>
      </c>
      <c r="M8" s="134" t="s">
        <v>96</v>
      </c>
      <c r="N8" s="94"/>
      <c r="O8" s="6"/>
    </row>
    <row r="9" spans="1:14" s="74" customFormat="1" ht="24.75" customHeight="1">
      <c r="A9" s="9" t="s">
        <v>109</v>
      </c>
      <c r="B9" s="135" t="s">
        <v>110</v>
      </c>
      <c r="C9" s="10">
        <v>1</v>
      </c>
      <c r="D9" s="11" t="s">
        <v>111</v>
      </c>
      <c r="E9" s="47">
        <v>29200</v>
      </c>
      <c r="F9" s="8">
        <f t="shared" si="0"/>
        <v>29200</v>
      </c>
      <c r="G9" s="8"/>
      <c r="H9" s="8"/>
      <c r="I9" s="8"/>
      <c r="J9" s="8"/>
      <c r="K9" s="8">
        <f t="shared" si="1"/>
        <v>29200</v>
      </c>
      <c r="L9" s="8">
        <f t="shared" si="1"/>
        <v>29200</v>
      </c>
      <c r="M9" s="131"/>
      <c r="N9" s="94"/>
    </row>
    <row r="10" spans="1:14" s="74" customFormat="1" ht="24.75" customHeight="1">
      <c r="A10" s="9" t="s">
        <v>109</v>
      </c>
      <c r="B10" s="135" t="s">
        <v>112</v>
      </c>
      <c r="C10" s="10">
        <v>1</v>
      </c>
      <c r="D10" s="11" t="s">
        <v>111</v>
      </c>
      <c r="E10" s="47">
        <v>23000</v>
      </c>
      <c r="F10" s="8">
        <f>INT(E10*C10)</f>
        <v>23000</v>
      </c>
      <c r="G10" s="8"/>
      <c r="H10" s="8"/>
      <c r="I10" s="8"/>
      <c r="J10" s="8"/>
      <c r="K10" s="8">
        <f>SUM(E10,G10,I10)</f>
        <v>23000</v>
      </c>
      <c r="L10" s="8">
        <f>SUM(F10,H10,J10)</f>
        <v>23000</v>
      </c>
      <c r="M10" s="131"/>
      <c r="N10" s="94"/>
    </row>
    <row r="11" spans="1:14" s="74" customFormat="1" ht="24.75" customHeight="1">
      <c r="A11" s="9" t="s">
        <v>113</v>
      </c>
      <c r="B11" s="135" t="s">
        <v>114</v>
      </c>
      <c r="C11" s="10">
        <v>1</v>
      </c>
      <c r="D11" s="11" t="s">
        <v>108</v>
      </c>
      <c r="E11" s="47">
        <v>2300</v>
      </c>
      <c r="F11" s="8">
        <f t="shared" si="0"/>
        <v>2300</v>
      </c>
      <c r="G11" s="8"/>
      <c r="H11" s="8"/>
      <c r="I11" s="8"/>
      <c r="J11" s="8"/>
      <c r="K11" s="8">
        <f t="shared" si="1"/>
        <v>2300</v>
      </c>
      <c r="L11" s="8">
        <f t="shared" si="1"/>
        <v>2300</v>
      </c>
      <c r="M11" s="131"/>
      <c r="N11" s="94"/>
    </row>
    <row r="12" spans="1:15" s="6" customFormat="1" ht="24.75" customHeight="1">
      <c r="A12" s="9" t="s">
        <v>115</v>
      </c>
      <c r="B12" s="135" t="s">
        <v>116</v>
      </c>
      <c r="C12" s="10">
        <v>1</v>
      </c>
      <c r="D12" s="11" t="s">
        <v>117</v>
      </c>
      <c r="E12" s="47">
        <v>4000</v>
      </c>
      <c r="F12" s="8">
        <f>INT(E12*C12)</f>
        <v>4000</v>
      </c>
      <c r="G12" s="8"/>
      <c r="H12" s="8"/>
      <c r="I12" s="8"/>
      <c r="J12" s="8"/>
      <c r="K12" s="8">
        <f>SUM(E12,G12,I12)</f>
        <v>4000</v>
      </c>
      <c r="L12" s="8">
        <f>SUM(F12,H12,J12)</f>
        <v>4000</v>
      </c>
      <c r="M12" s="131"/>
      <c r="N12" s="64"/>
      <c r="O12" s="74"/>
    </row>
    <row r="13" spans="1:15" s="6" customFormat="1" ht="24.75" customHeight="1">
      <c r="A13" s="9" t="s">
        <v>118</v>
      </c>
      <c r="B13" s="135" t="s">
        <v>119</v>
      </c>
      <c r="C13" s="10">
        <v>2</v>
      </c>
      <c r="D13" s="11" t="s">
        <v>97</v>
      </c>
      <c r="E13" s="47">
        <v>2100</v>
      </c>
      <c r="F13" s="8">
        <f>INT(E13*C13)</f>
        <v>4200</v>
      </c>
      <c r="G13" s="8"/>
      <c r="H13" s="8"/>
      <c r="I13" s="8"/>
      <c r="J13" s="8"/>
      <c r="K13" s="8">
        <f>SUM(E13,G13,I13)</f>
        <v>2100</v>
      </c>
      <c r="L13" s="8">
        <f>SUM(F13,H13,J13)</f>
        <v>4200</v>
      </c>
      <c r="M13" s="131"/>
      <c r="N13" s="64"/>
      <c r="O13" s="74"/>
    </row>
    <row r="14" spans="1:15" s="6" customFormat="1" ht="24.75" customHeight="1">
      <c r="A14" s="9" t="s">
        <v>120</v>
      </c>
      <c r="B14" s="135" t="s">
        <v>121</v>
      </c>
      <c r="C14" s="10">
        <v>4</v>
      </c>
      <c r="D14" s="11" t="s">
        <v>122</v>
      </c>
      <c r="E14" s="47">
        <v>1200</v>
      </c>
      <c r="F14" s="8">
        <f>INT(E14*C14)</f>
        <v>4800</v>
      </c>
      <c r="G14" s="8"/>
      <c r="H14" s="8"/>
      <c r="I14" s="8"/>
      <c r="J14" s="8"/>
      <c r="K14" s="8">
        <f t="shared" si="1"/>
        <v>1200</v>
      </c>
      <c r="L14" s="8">
        <f>SUM(F14,H14,J14)</f>
        <v>4800</v>
      </c>
      <c r="M14" s="132"/>
      <c r="N14" s="64"/>
      <c r="O14" s="74"/>
    </row>
    <row r="15" spans="1:15" s="6" customFormat="1" ht="24.75" customHeight="1">
      <c r="A15" s="9" t="s">
        <v>123</v>
      </c>
      <c r="B15" s="135" t="s">
        <v>124</v>
      </c>
      <c r="C15" s="10">
        <v>10</v>
      </c>
      <c r="D15" s="11" t="s">
        <v>122</v>
      </c>
      <c r="E15" s="47">
        <v>900</v>
      </c>
      <c r="F15" s="8">
        <f t="shared" si="0"/>
        <v>9000</v>
      </c>
      <c r="G15" s="8"/>
      <c r="H15" s="8"/>
      <c r="I15" s="8"/>
      <c r="J15" s="8"/>
      <c r="K15" s="8">
        <f t="shared" si="1"/>
        <v>900</v>
      </c>
      <c r="L15" s="8">
        <f t="shared" si="1"/>
        <v>9000</v>
      </c>
      <c r="M15" s="131"/>
      <c r="N15" s="64"/>
      <c r="O15" s="74"/>
    </row>
    <row r="16" spans="1:18" s="6" customFormat="1" ht="24.75" customHeight="1">
      <c r="A16" s="139" t="s">
        <v>98</v>
      </c>
      <c r="B16" s="137"/>
      <c r="C16" s="10"/>
      <c r="D16" s="11"/>
      <c r="E16" s="47"/>
      <c r="F16" s="13">
        <f>SUM(F5:F15)</f>
        <v>322600</v>
      </c>
      <c r="G16" s="8"/>
      <c r="H16" s="13">
        <f>SUM(H5:H15)</f>
        <v>0</v>
      </c>
      <c r="I16" s="8"/>
      <c r="J16" s="13">
        <f>SUM(J5:J15)</f>
        <v>0</v>
      </c>
      <c r="K16" s="8"/>
      <c r="L16" s="13">
        <f t="shared" si="1"/>
        <v>322600</v>
      </c>
      <c r="M16" s="82" t="str">
        <f>O16&amp;". 0"&amp;P16&amp;" "&amp;Q16&amp;" P."&amp;R16</f>
        <v>2022. 01 거래가격 P.266</v>
      </c>
      <c r="N16" s="150"/>
      <c r="O16" s="5">
        <f>base!D3</f>
        <v>2022</v>
      </c>
      <c r="P16" s="5">
        <v>1</v>
      </c>
      <c r="Q16" s="5" t="s">
        <v>142</v>
      </c>
      <c r="R16" s="5">
        <f>base!E3</f>
        <v>266</v>
      </c>
    </row>
    <row r="17" spans="1:19" s="6" customFormat="1" ht="24.75" customHeight="1">
      <c r="A17" s="136" t="s">
        <v>39</v>
      </c>
      <c r="B17" s="135" t="s">
        <v>39</v>
      </c>
      <c r="C17" s="93">
        <v>0.067</v>
      </c>
      <c r="D17" s="11" t="s">
        <v>18</v>
      </c>
      <c r="E17" s="147"/>
      <c r="F17" s="8"/>
      <c r="G17" s="8">
        <f>기본대가!L23</f>
        <v>187435</v>
      </c>
      <c r="H17" s="8">
        <f>INT(G17*C17)</f>
        <v>12558</v>
      </c>
      <c r="I17" s="8"/>
      <c r="J17" s="8"/>
      <c r="K17" s="8">
        <f aca="true" t="shared" si="2" ref="K17:K22">SUM(E17,G17,I17)</f>
        <v>187435</v>
      </c>
      <c r="L17" s="8">
        <f aca="true" t="shared" si="3" ref="L17:L24">SUM(F17,H17,J17)</f>
        <v>12558</v>
      </c>
      <c r="M17" s="82" t="str">
        <f>base!A3&amp;"년 건설공사표준품셈(대한건설협회) P."&amp;base!B3</f>
        <v>2022년 건설공사표준품셈(대한건설협회) P.795</v>
      </c>
      <c r="N17" s="66"/>
      <c r="O17" s="40"/>
      <c r="P17" s="40"/>
      <c r="Q17" s="40"/>
      <c r="R17" s="42"/>
      <c r="S17" s="42"/>
    </row>
    <row r="18" spans="1:16" s="6" customFormat="1" ht="24.75" customHeight="1">
      <c r="A18" s="136" t="s">
        <v>33</v>
      </c>
      <c r="B18" s="135" t="s">
        <v>33</v>
      </c>
      <c r="C18" s="93">
        <v>0.133</v>
      </c>
      <c r="D18" s="11" t="s">
        <v>133</v>
      </c>
      <c r="E18" s="147"/>
      <c r="F18" s="8"/>
      <c r="G18" s="8">
        <f>기본대가!L24</f>
        <v>148510</v>
      </c>
      <c r="H18" s="8">
        <f>INT(G18*C18)</f>
        <v>19751</v>
      </c>
      <c r="I18" s="8"/>
      <c r="J18" s="8"/>
      <c r="K18" s="8">
        <f t="shared" si="2"/>
        <v>148510</v>
      </c>
      <c r="L18" s="8">
        <f t="shared" si="3"/>
        <v>19751</v>
      </c>
      <c r="M18" s="82" t="str">
        <f>M17</f>
        <v>2022년 건설공사표준품셈(대한건설협회) P.795</v>
      </c>
      <c r="N18" s="66"/>
      <c r="O18" s="40"/>
      <c r="P18" s="40"/>
    </row>
    <row r="19" spans="1:15" s="6" customFormat="1" ht="24.75" customHeight="1">
      <c r="A19" s="9" t="s">
        <v>31</v>
      </c>
      <c r="B19" s="135" t="s">
        <v>46</v>
      </c>
      <c r="C19" s="141">
        <v>0.089</v>
      </c>
      <c r="D19" s="11" t="s">
        <v>32</v>
      </c>
      <c r="E19" s="147">
        <f>기본대가!F9</f>
        <v>20843</v>
      </c>
      <c r="F19" s="8">
        <f>INT(E19*C19)</f>
        <v>1855</v>
      </c>
      <c r="G19" s="8">
        <f>기본대가!H9</f>
        <v>47849</v>
      </c>
      <c r="H19" s="8">
        <f>INT(G19*C19)</f>
        <v>4258</v>
      </c>
      <c r="I19" s="8">
        <f>기본대가!J9</f>
        <v>33324</v>
      </c>
      <c r="J19" s="8">
        <f>INT(I19*C19)</f>
        <v>2965</v>
      </c>
      <c r="K19" s="8">
        <f t="shared" si="2"/>
        <v>102016</v>
      </c>
      <c r="L19" s="8">
        <f t="shared" si="3"/>
        <v>9078</v>
      </c>
      <c r="M19" s="82" t="str">
        <f>M18</f>
        <v>2022년 건설공사표준품셈(대한건설협회) P.795</v>
      </c>
      <c r="N19" s="67"/>
      <c r="O19" s="40"/>
    </row>
    <row r="20" spans="1:14" s="6" customFormat="1" ht="24.75" customHeight="1">
      <c r="A20" s="9" t="s">
        <v>66</v>
      </c>
      <c r="B20" s="135" t="s">
        <v>55</v>
      </c>
      <c r="C20" s="141">
        <v>0.089</v>
      </c>
      <c r="D20" s="11" t="s">
        <v>32</v>
      </c>
      <c r="E20" s="147">
        <f>기본대가!F15</f>
        <v>5798</v>
      </c>
      <c r="F20" s="8">
        <f>INT(C20*E20)</f>
        <v>516</v>
      </c>
      <c r="G20" s="8">
        <f>기본대가!H15</f>
        <v>39645</v>
      </c>
      <c r="H20" s="8">
        <f>INT(G20*C20)</f>
        <v>3528</v>
      </c>
      <c r="I20" s="8">
        <f>기본대가!J15</f>
        <v>5965</v>
      </c>
      <c r="J20" s="8">
        <f>INT(C20*I20)</f>
        <v>530</v>
      </c>
      <c r="K20" s="8">
        <f t="shared" si="2"/>
        <v>51408</v>
      </c>
      <c r="L20" s="8">
        <f>SUM(F20,H20,J20)</f>
        <v>4574</v>
      </c>
      <c r="M20" s="82" t="str">
        <f>M19</f>
        <v>2022년 건설공사표준품셈(대한건설협회) P.795</v>
      </c>
      <c r="N20" s="67"/>
    </row>
    <row r="21" spans="1:14" s="6" customFormat="1" ht="24.75" customHeight="1">
      <c r="A21" s="9" t="s">
        <v>60</v>
      </c>
      <c r="B21" s="135" t="s">
        <v>61</v>
      </c>
      <c r="C21" s="141">
        <v>0.089</v>
      </c>
      <c r="D21" s="11" t="s">
        <v>56</v>
      </c>
      <c r="E21" s="147">
        <f>기본대가!F21</f>
        <v>7726</v>
      </c>
      <c r="F21" s="8">
        <f>C21*E21</f>
        <v>687.6139999999999</v>
      </c>
      <c r="G21" s="8">
        <f>기본대가!H21</f>
        <v>29239.791666666664</v>
      </c>
      <c r="H21" s="8">
        <f>INT(G21*C21)</f>
        <v>2602</v>
      </c>
      <c r="I21" s="8">
        <f>기본대가!J21</f>
        <v>3090</v>
      </c>
      <c r="J21" s="8">
        <f>INT(C21*I21)</f>
        <v>275</v>
      </c>
      <c r="K21" s="8">
        <f t="shared" si="2"/>
        <v>40055.791666666664</v>
      </c>
      <c r="L21" s="8">
        <f>SUM(F21,H21,J21)</f>
        <v>3564.614</v>
      </c>
      <c r="M21" s="82" t="str">
        <f>M20</f>
        <v>2022년 건설공사표준품셈(대한건설협회) P.795</v>
      </c>
      <c r="N21" s="67"/>
    </row>
    <row r="22" spans="1:16" s="6" customFormat="1" ht="24.75" customHeight="1">
      <c r="A22" s="9" t="s">
        <v>35</v>
      </c>
      <c r="B22" s="135" t="s">
        <v>38</v>
      </c>
      <c r="C22" s="138">
        <v>1</v>
      </c>
      <c r="D22" s="11" t="s">
        <v>36</v>
      </c>
      <c r="E22" s="47">
        <f>INT(SUM(H17:H18)*3%)</f>
        <v>969</v>
      </c>
      <c r="F22" s="8">
        <f>INT(E22*C22)</f>
        <v>969</v>
      </c>
      <c r="G22" s="8"/>
      <c r="H22" s="8"/>
      <c r="I22" s="43"/>
      <c r="J22" s="8"/>
      <c r="K22" s="8">
        <f t="shared" si="2"/>
        <v>969</v>
      </c>
      <c r="L22" s="8">
        <f t="shared" si="3"/>
        <v>969</v>
      </c>
      <c r="M22" s="140"/>
      <c r="N22" s="68"/>
      <c r="O22" s="40"/>
      <c r="P22" s="42"/>
    </row>
    <row r="23" spans="1:14" s="6" customFormat="1" ht="24.75" customHeight="1">
      <c r="A23" s="139" t="s">
        <v>47</v>
      </c>
      <c r="B23" s="137"/>
      <c r="C23" s="10"/>
      <c r="D23" s="11"/>
      <c r="E23" s="47"/>
      <c r="F23" s="13">
        <f>SUM(F17:F22)</f>
        <v>4027.614</v>
      </c>
      <c r="G23" s="8"/>
      <c r="H23" s="13">
        <f>SUM(H17:H22)</f>
        <v>42697</v>
      </c>
      <c r="I23" s="8"/>
      <c r="J23" s="13">
        <f>SUM(J17:J22)</f>
        <v>3770</v>
      </c>
      <c r="K23" s="8"/>
      <c r="L23" s="13">
        <f t="shared" si="3"/>
        <v>50494.614</v>
      </c>
      <c r="M23" s="39"/>
      <c r="N23" s="65"/>
    </row>
    <row r="24" spans="1:14" s="6" customFormat="1" ht="24.75" customHeight="1">
      <c r="A24" s="139" t="s">
        <v>37</v>
      </c>
      <c r="B24" s="137"/>
      <c r="C24" s="10"/>
      <c r="D24" s="11"/>
      <c r="E24" s="47"/>
      <c r="F24" s="13">
        <f>SUM(F16,F23)</f>
        <v>326627.614</v>
      </c>
      <c r="G24" s="8"/>
      <c r="H24" s="13">
        <f>SUM(H16,H23)</f>
        <v>42697</v>
      </c>
      <c r="I24" s="8"/>
      <c r="J24" s="13">
        <f>SUM(J16,J23)</f>
        <v>3770</v>
      </c>
      <c r="K24" s="8"/>
      <c r="L24" s="13">
        <f t="shared" si="3"/>
        <v>373094.614</v>
      </c>
      <c r="M24" s="39"/>
      <c r="N24" s="65"/>
    </row>
    <row r="25" spans="1:15" s="7" customFormat="1" ht="24.75" customHeight="1">
      <c r="A25" s="142"/>
      <c r="B25" s="143" t="s">
        <v>19</v>
      </c>
      <c r="C25" s="179">
        <f>L24</f>
        <v>373094.614</v>
      </c>
      <c r="D25" s="179"/>
      <c r="E25" s="148" t="s">
        <v>125</v>
      </c>
      <c r="F25" s="92">
        <f>ROUNDUP(L24/2,0)</f>
        <v>186548</v>
      </c>
      <c r="G25" s="144"/>
      <c r="H25" s="144"/>
      <c r="I25" s="144"/>
      <c r="J25" s="144"/>
      <c r="K25" s="144"/>
      <c r="L25" s="144"/>
      <c r="M25" s="145"/>
      <c r="N25" s="69"/>
      <c r="O25" s="6"/>
    </row>
    <row r="26" spans="1:14" s="6" customFormat="1" ht="24.75" customHeight="1">
      <c r="A26" s="181" t="s">
        <v>128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63"/>
    </row>
    <row r="27" spans="1:14" s="6" customFormat="1" ht="24.75" customHeight="1">
      <c r="A27" s="9" t="s">
        <v>52</v>
      </c>
      <c r="B27" s="135" t="s">
        <v>99</v>
      </c>
      <c r="C27" s="10">
        <v>0.5</v>
      </c>
      <c r="D27" s="11" t="s">
        <v>100</v>
      </c>
      <c r="E27" s="47">
        <v>83000</v>
      </c>
      <c r="F27" s="8">
        <f aca="true" t="shared" si="4" ref="F27:F37">INT(E27*C27)</f>
        <v>41500</v>
      </c>
      <c r="G27" s="8"/>
      <c r="H27" s="8"/>
      <c r="I27" s="8"/>
      <c r="J27" s="8"/>
      <c r="K27" s="8">
        <f aca="true" t="shared" si="5" ref="K27:K36">SUM(E27,G27,I27)</f>
        <v>83000</v>
      </c>
      <c r="L27" s="8">
        <f aca="true" t="shared" si="6" ref="L27:L36">SUM(F27,H27,J27)</f>
        <v>41500</v>
      </c>
      <c r="M27" s="131"/>
      <c r="N27" s="62"/>
    </row>
    <row r="28" spans="1:17" s="74" customFormat="1" ht="24.75" customHeight="1">
      <c r="A28" s="9" t="s">
        <v>95</v>
      </c>
      <c r="B28" s="135" t="s">
        <v>101</v>
      </c>
      <c r="C28" s="10">
        <v>0.5</v>
      </c>
      <c r="D28" s="11" t="s">
        <v>102</v>
      </c>
      <c r="E28" s="47">
        <v>22000</v>
      </c>
      <c r="F28" s="8">
        <f t="shared" si="4"/>
        <v>11000</v>
      </c>
      <c r="G28" s="8"/>
      <c r="H28" s="8"/>
      <c r="I28" s="8"/>
      <c r="J28" s="8"/>
      <c r="K28" s="8">
        <f t="shared" si="5"/>
        <v>22000</v>
      </c>
      <c r="L28" s="8">
        <f t="shared" si="6"/>
        <v>11000</v>
      </c>
      <c r="M28" s="131"/>
      <c r="N28" s="94"/>
      <c r="O28" s="6"/>
      <c r="P28" s="95"/>
      <c r="Q28" s="95"/>
    </row>
    <row r="29" spans="1:15" s="74" customFormat="1" ht="24.75" customHeight="1">
      <c r="A29" s="9" t="s">
        <v>130</v>
      </c>
      <c r="B29" s="135" t="s">
        <v>135</v>
      </c>
      <c r="C29" s="10">
        <v>1</v>
      </c>
      <c r="D29" s="11" t="s">
        <v>105</v>
      </c>
      <c r="E29" s="47">
        <v>103000</v>
      </c>
      <c r="F29" s="8">
        <f t="shared" si="4"/>
        <v>103000</v>
      </c>
      <c r="G29" s="8"/>
      <c r="H29" s="8"/>
      <c r="I29" s="8"/>
      <c r="J29" s="8"/>
      <c r="K29" s="8">
        <f t="shared" si="5"/>
        <v>103000</v>
      </c>
      <c r="L29" s="8">
        <f t="shared" si="6"/>
        <v>103000</v>
      </c>
      <c r="M29" s="134" t="s">
        <v>96</v>
      </c>
      <c r="N29" s="94"/>
      <c r="O29" s="6"/>
    </row>
    <row r="30" spans="1:15" s="74" customFormat="1" ht="24.75" customHeight="1">
      <c r="A30" s="9" t="s">
        <v>131</v>
      </c>
      <c r="B30" s="135" t="s">
        <v>132</v>
      </c>
      <c r="C30" s="10">
        <v>1</v>
      </c>
      <c r="D30" s="11" t="s">
        <v>108</v>
      </c>
      <c r="E30" s="47">
        <v>111000</v>
      </c>
      <c r="F30" s="8">
        <f t="shared" si="4"/>
        <v>111000</v>
      </c>
      <c r="G30" s="8"/>
      <c r="H30" s="8"/>
      <c r="I30" s="8"/>
      <c r="J30" s="8"/>
      <c r="K30" s="8">
        <f t="shared" si="5"/>
        <v>111000</v>
      </c>
      <c r="L30" s="8">
        <f t="shared" si="6"/>
        <v>111000</v>
      </c>
      <c r="M30" s="134" t="s">
        <v>96</v>
      </c>
      <c r="N30" s="94"/>
      <c r="O30" s="6"/>
    </row>
    <row r="31" spans="1:14" s="74" customFormat="1" ht="24.75" customHeight="1">
      <c r="A31" s="9" t="s">
        <v>109</v>
      </c>
      <c r="B31" s="135" t="s">
        <v>110</v>
      </c>
      <c r="C31" s="10">
        <v>0.5</v>
      </c>
      <c r="D31" s="11" t="s">
        <v>111</v>
      </c>
      <c r="E31" s="47">
        <v>29200</v>
      </c>
      <c r="F31" s="8">
        <f t="shared" si="4"/>
        <v>14600</v>
      </c>
      <c r="G31" s="8"/>
      <c r="H31" s="8"/>
      <c r="I31" s="8"/>
      <c r="J31" s="8"/>
      <c r="K31" s="8">
        <f t="shared" si="5"/>
        <v>29200</v>
      </c>
      <c r="L31" s="8">
        <f t="shared" si="6"/>
        <v>14600</v>
      </c>
      <c r="M31" s="131"/>
      <c r="N31" s="94"/>
    </row>
    <row r="32" spans="1:14" s="74" customFormat="1" ht="24.75" customHeight="1">
      <c r="A32" s="9" t="s">
        <v>109</v>
      </c>
      <c r="B32" s="135" t="s">
        <v>112</v>
      </c>
      <c r="C32" s="10">
        <v>0.5</v>
      </c>
      <c r="D32" s="11" t="s">
        <v>111</v>
      </c>
      <c r="E32" s="47">
        <v>23000</v>
      </c>
      <c r="F32" s="8">
        <f t="shared" si="4"/>
        <v>11500</v>
      </c>
      <c r="G32" s="8"/>
      <c r="H32" s="8"/>
      <c r="I32" s="8"/>
      <c r="J32" s="8"/>
      <c r="K32" s="8">
        <f t="shared" si="5"/>
        <v>23000</v>
      </c>
      <c r="L32" s="8">
        <f t="shared" si="6"/>
        <v>11500</v>
      </c>
      <c r="M32" s="131"/>
      <c r="N32" s="94"/>
    </row>
    <row r="33" spans="1:14" s="74" customFormat="1" ht="24.75" customHeight="1">
      <c r="A33" s="9" t="s">
        <v>113</v>
      </c>
      <c r="B33" s="135" t="s">
        <v>114</v>
      </c>
      <c r="C33" s="10">
        <v>0.5</v>
      </c>
      <c r="D33" s="11" t="s">
        <v>108</v>
      </c>
      <c r="E33" s="47">
        <v>2300</v>
      </c>
      <c r="F33" s="8">
        <f t="shared" si="4"/>
        <v>1150</v>
      </c>
      <c r="G33" s="8"/>
      <c r="H33" s="8"/>
      <c r="I33" s="8"/>
      <c r="J33" s="8"/>
      <c r="K33" s="8">
        <f t="shared" si="5"/>
        <v>2300</v>
      </c>
      <c r="L33" s="8">
        <f t="shared" si="6"/>
        <v>1150</v>
      </c>
      <c r="M33" s="131"/>
      <c r="N33" s="94"/>
    </row>
    <row r="34" spans="1:15" s="6" customFormat="1" ht="24.75" customHeight="1">
      <c r="A34" s="9" t="s">
        <v>115</v>
      </c>
      <c r="B34" s="135" t="s">
        <v>116</v>
      </c>
      <c r="C34" s="10">
        <v>0.5</v>
      </c>
      <c r="D34" s="11" t="s">
        <v>117</v>
      </c>
      <c r="E34" s="47">
        <v>4000</v>
      </c>
      <c r="F34" s="8">
        <f t="shared" si="4"/>
        <v>2000</v>
      </c>
      <c r="G34" s="8"/>
      <c r="H34" s="8"/>
      <c r="I34" s="8"/>
      <c r="J34" s="8"/>
      <c r="K34" s="8">
        <f t="shared" si="5"/>
        <v>4000</v>
      </c>
      <c r="L34" s="8">
        <f t="shared" si="6"/>
        <v>2000</v>
      </c>
      <c r="M34" s="131"/>
      <c r="N34" s="64"/>
      <c r="O34" s="74"/>
    </row>
    <row r="35" spans="1:15" s="6" customFormat="1" ht="24.75" customHeight="1">
      <c r="A35" s="9" t="s">
        <v>118</v>
      </c>
      <c r="B35" s="135" t="s">
        <v>119</v>
      </c>
      <c r="C35" s="10">
        <v>1</v>
      </c>
      <c r="D35" s="11" t="s">
        <v>97</v>
      </c>
      <c r="E35" s="47">
        <v>2100</v>
      </c>
      <c r="F35" s="8">
        <f t="shared" si="4"/>
        <v>2100</v>
      </c>
      <c r="G35" s="8"/>
      <c r="H35" s="8"/>
      <c r="I35" s="8"/>
      <c r="J35" s="8"/>
      <c r="K35" s="8">
        <f t="shared" si="5"/>
        <v>2100</v>
      </c>
      <c r="L35" s="8">
        <f t="shared" si="6"/>
        <v>2100</v>
      </c>
      <c r="M35" s="131"/>
      <c r="N35" s="64"/>
      <c r="O35" s="74"/>
    </row>
    <row r="36" spans="1:15" s="6" customFormat="1" ht="24.75" customHeight="1">
      <c r="A36" s="9" t="s">
        <v>120</v>
      </c>
      <c r="B36" s="135" t="s">
        <v>121</v>
      </c>
      <c r="C36" s="10">
        <v>2</v>
      </c>
      <c r="D36" s="11" t="s">
        <v>122</v>
      </c>
      <c r="E36" s="47">
        <v>1200</v>
      </c>
      <c r="F36" s="8">
        <f t="shared" si="4"/>
        <v>2400</v>
      </c>
      <c r="G36" s="8"/>
      <c r="H36" s="8"/>
      <c r="I36" s="8"/>
      <c r="J36" s="8"/>
      <c r="K36" s="8">
        <f t="shared" si="5"/>
        <v>1200</v>
      </c>
      <c r="L36" s="8">
        <f t="shared" si="6"/>
        <v>2400</v>
      </c>
      <c r="M36" s="132"/>
      <c r="N36" s="64"/>
      <c r="O36" s="74"/>
    </row>
    <row r="37" spans="1:15" s="6" customFormat="1" ht="24.75" customHeight="1">
      <c r="A37" s="9" t="s">
        <v>123</v>
      </c>
      <c r="B37" s="135" t="s">
        <v>124</v>
      </c>
      <c r="C37" s="10">
        <v>4</v>
      </c>
      <c r="D37" s="11" t="s">
        <v>122</v>
      </c>
      <c r="E37" s="47">
        <v>900</v>
      </c>
      <c r="F37" s="8">
        <f t="shared" si="4"/>
        <v>3600</v>
      </c>
      <c r="G37" s="8"/>
      <c r="H37" s="8"/>
      <c r="I37" s="8"/>
      <c r="J37" s="8"/>
      <c r="K37" s="8">
        <f>SUM(E37,G37,I37)</f>
        <v>900</v>
      </c>
      <c r="L37" s="8">
        <f>SUM(F37,H37,J37)</f>
        <v>3600</v>
      </c>
      <c r="M37" s="131"/>
      <c r="N37" s="64"/>
      <c r="O37" s="74"/>
    </row>
    <row r="38" spans="1:16" s="6" customFormat="1" ht="24.75" customHeight="1">
      <c r="A38" s="139" t="s">
        <v>98</v>
      </c>
      <c r="B38" s="137"/>
      <c r="C38" s="10"/>
      <c r="D38" s="11"/>
      <c r="E38" s="47"/>
      <c r="F38" s="13">
        <f>SUM(F27:F37)</f>
        <v>303850</v>
      </c>
      <c r="G38" s="8"/>
      <c r="H38" s="13">
        <f>SUM(H27:H37)</f>
        <v>0</v>
      </c>
      <c r="I38" s="8"/>
      <c r="J38" s="13">
        <f>SUM(J27:J37)</f>
        <v>0</v>
      </c>
      <c r="K38" s="8"/>
      <c r="L38" s="13">
        <f aca="true" t="shared" si="7" ref="L38:L46">SUM(F38,H38,J38)</f>
        <v>303850</v>
      </c>
      <c r="M38" s="82"/>
      <c r="N38" s="65"/>
      <c r="O38" s="133"/>
      <c r="P38" s="40"/>
    </row>
    <row r="39" spans="1:19" s="6" customFormat="1" ht="24.75" customHeight="1">
      <c r="A39" s="136" t="s">
        <v>39</v>
      </c>
      <c r="B39" s="135" t="s">
        <v>39</v>
      </c>
      <c r="C39" s="93">
        <f>$C17*50%</f>
        <v>0.0335</v>
      </c>
      <c r="D39" s="11" t="s">
        <v>18</v>
      </c>
      <c r="E39" s="147"/>
      <c r="F39" s="8"/>
      <c r="G39" s="8">
        <f>G17</f>
        <v>187435</v>
      </c>
      <c r="H39" s="8">
        <f>INT(G39*C39)</f>
        <v>6279</v>
      </c>
      <c r="I39" s="8"/>
      <c r="J39" s="8"/>
      <c r="K39" s="8">
        <f aca="true" t="shared" si="8" ref="K39:K44">SUM(E39,G39,I39)</f>
        <v>187435</v>
      </c>
      <c r="L39" s="8">
        <f t="shared" si="7"/>
        <v>6279</v>
      </c>
      <c r="M39" s="151" t="s">
        <v>143</v>
      </c>
      <c r="N39" s="66"/>
      <c r="O39" s="40"/>
      <c r="P39" s="40"/>
      <c r="Q39" s="40"/>
      <c r="R39" s="42"/>
      <c r="S39" s="42"/>
    </row>
    <row r="40" spans="1:16" s="6" customFormat="1" ht="24.75" customHeight="1">
      <c r="A40" s="136" t="s">
        <v>33</v>
      </c>
      <c r="B40" s="135" t="s">
        <v>33</v>
      </c>
      <c r="C40" s="93">
        <f>$C18*50%</f>
        <v>0.0665</v>
      </c>
      <c r="D40" s="11" t="s">
        <v>133</v>
      </c>
      <c r="E40" s="147"/>
      <c r="F40" s="8"/>
      <c r="G40" s="8">
        <f>G18</f>
        <v>148510</v>
      </c>
      <c r="H40" s="8">
        <f>INT(G40*C40)</f>
        <v>9875</v>
      </c>
      <c r="I40" s="8"/>
      <c r="J40" s="8"/>
      <c r="K40" s="8">
        <f t="shared" si="8"/>
        <v>148510</v>
      </c>
      <c r="L40" s="8">
        <f t="shared" si="7"/>
        <v>9875</v>
      </c>
      <c r="M40" s="82" t="str">
        <f>M39</f>
        <v>표준구간의 50%</v>
      </c>
      <c r="N40" s="66"/>
      <c r="O40" s="40"/>
      <c r="P40" s="40"/>
    </row>
    <row r="41" spans="1:15" s="6" customFormat="1" ht="24.75" customHeight="1">
      <c r="A41" s="9" t="s">
        <v>31</v>
      </c>
      <c r="B41" s="135" t="s">
        <v>46</v>
      </c>
      <c r="C41" s="93">
        <f>$C19*50%</f>
        <v>0.0445</v>
      </c>
      <c r="D41" s="11" t="s">
        <v>32</v>
      </c>
      <c r="E41" s="147">
        <f>E19</f>
        <v>20843</v>
      </c>
      <c r="F41" s="8">
        <f>INT(E41*C41)</f>
        <v>927</v>
      </c>
      <c r="G41" s="12">
        <f>G19</f>
        <v>47849</v>
      </c>
      <c r="H41" s="8">
        <f>INT(G41*C41)</f>
        <v>2129</v>
      </c>
      <c r="I41" s="12">
        <f>I19</f>
        <v>33324</v>
      </c>
      <c r="J41" s="8">
        <f>INT(I41*C41)</f>
        <v>1482</v>
      </c>
      <c r="K41" s="8">
        <f t="shared" si="8"/>
        <v>102016</v>
      </c>
      <c r="L41" s="8">
        <f t="shared" si="7"/>
        <v>4538</v>
      </c>
      <c r="M41" s="82" t="str">
        <f>M40</f>
        <v>표준구간의 50%</v>
      </c>
      <c r="N41" s="67"/>
      <c r="O41" s="40"/>
    </row>
    <row r="42" spans="1:14" s="6" customFormat="1" ht="24.75" customHeight="1">
      <c r="A42" s="9" t="s">
        <v>66</v>
      </c>
      <c r="B42" s="135" t="s">
        <v>55</v>
      </c>
      <c r="C42" s="141">
        <f>$C20*50%</f>
        <v>0.0445</v>
      </c>
      <c r="D42" s="11" t="s">
        <v>32</v>
      </c>
      <c r="E42" s="147">
        <f>E20</f>
        <v>5798</v>
      </c>
      <c r="F42" s="8">
        <f>INT(C42*E42)</f>
        <v>258</v>
      </c>
      <c r="G42" s="12">
        <f>G20</f>
        <v>39645</v>
      </c>
      <c r="H42" s="8">
        <f>INT(G42*C42)</f>
        <v>1764</v>
      </c>
      <c r="I42" s="12">
        <f>I20</f>
        <v>5965</v>
      </c>
      <c r="J42" s="8">
        <f>INT(C42*I42)</f>
        <v>265</v>
      </c>
      <c r="K42" s="8">
        <f t="shared" si="8"/>
        <v>51408</v>
      </c>
      <c r="L42" s="8">
        <f t="shared" si="7"/>
        <v>2287</v>
      </c>
      <c r="M42" s="82" t="str">
        <f>M41</f>
        <v>표준구간의 50%</v>
      </c>
      <c r="N42" s="67"/>
    </row>
    <row r="43" spans="1:14" s="6" customFormat="1" ht="24.75" customHeight="1">
      <c r="A43" s="9" t="s">
        <v>60</v>
      </c>
      <c r="B43" s="135" t="s">
        <v>61</v>
      </c>
      <c r="C43" s="141">
        <f>$C21*50%</f>
        <v>0.0445</v>
      </c>
      <c r="D43" s="11" t="s">
        <v>56</v>
      </c>
      <c r="E43" s="147">
        <f>E21</f>
        <v>7726</v>
      </c>
      <c r="F43" s="8">
        <f>C43*E43</f>
        <v>343.80699999999996</v>
      </c>
      <c r="G43" s="12">
        <f>G21</f>
        <v>29239.791666666664</v>
      </c>
      <c r="H43" s="8">
        <f>INT(G43*C43)</f>
        <v>1301</v>
      </c>
      <c r="I43" s="12">
        <f>I21</f>
        <v>3090</v>
      </c>
      <c r="J43" s="8">
        <f>INT(C43*I43)</f>
        <v>137</v>
      </c>
      <c r="K43" s="8">
        <f t="shared" si="8"/>
        <v>40055.791666666664</v>
      </c>
      <c r="L43" s="8">
        <f t="shared" si="7"/>
        <v>1781.807</v>
      </c>
      <c r="M43" s="82" t="str">
        <f>M42</f>
        <v>표준구간의 50%</v>
      </c>
      <c r="N43" s="67"/>
    </row>
    <row r="44" spans="1:16" s="6" customFormat="1" ht="24.75" customHeight="1">
      <c r="A44" s="9" t="s">
        <v>35</v>
      </c>
      <c r="B44" s="135" t="s">
        <v>38</v>
      </c>
      <c r="C44" s="138">
        <v>1</v>
      </c>
      <c r="D44" s="11" t="s">
        <v>34</v>
      </c>
      <c r="E44" s="47">
        <f>INT(SUM(H39:H40)*3%)</f>
        <v>484</v>
      </c>
      <c r="F44" s="8">
        <f>INT(E44*C44)</f>
        <v>484</v>
      </c>
      <c r="G44" s="8"/>
      <c r="H44" s="8"/>
      <c r="I44" s="43"/>
      <c r="J44" s="8"/>
      <c r="K44" s="8">
        <f t="shared" si="8"/>
        <v>484</v>
      </c>
      <c r="L44" s="8">
        <f t="shared" si="7"/>
        <v>484</v>
      </c>
      <c r="M44" s="140"/>
      <c r="N44" s="68"/>
      <c r="O44" s="40"/>
      <c r="P44" s="42"/>
    </row>
    <row r="45" spans="1:14" s="6" customFormat="1" ht="24.75" customHeight="1">
      <c r="A45" s="139" t="s">
        <v>47</v>
      </c>
      <c r="B45" s="137"/>
      <c r="C45" s="10"/>
      <c r="D45" s="11"/>
      <c r="E45" s="47"/>
      <c r="F45" s="13">
        <f>SUM(F39:F44)</f>
        <v>2012.807</v>
      </c>
      <c r="G45" s="8"/>
      <c r="H45" s="13">
        <f>SUM(H39:H44)</f>
        <v>21348</v>
      </c>
      <c r="I45" s="8"/>
      <c r="J45" s="13">
        <f>SUM(J39:J44)</f>
        <v>1884</v>
      </c>
      <c r="K45" s="8"/>
      <c r="L45" s="13">
        <f t="shared" si="7"/>
        <v>25244.807</v>
      </c>
      <c r="M45" s="39"/>
      <c r="N45" s="65"/>
    </row>
    <row r="46" spans="1:14" s="6" customFormat="1" ht="24.75" customHeight="1">
      <c r="A46" s="139" t="s">
        <v>37</v>
      </c>
      <c r="B46" s="137"/>
      <c r="C46" s="10"/>
      <c r="D46" s="11"/>
      <c r="E46" s="47"/>
      <c r="F46" s="13">
        <f>SUM(F38,F45)</f>
        <v>305862.807</v>
      </c>
      <c r="G46" s="8"/>
      <c r="H46" s="13">
        <f>SUM(H38,H45)</f>
        <v>21348</v>
      </c>
      <c r="I46" s="8"/>
      <c r="J46" s="13">
        <f>SUM(J38,J45)</f>
        <v>1884</v>
      </c>
      <c r="K46" s="8"/>
      <c r="L46" s="13">
        <f t="shared" si="7"/>
        <v>329094.807</v>
      </c>
      <c r="M46" s="39"/>
      <c r="N46" s="65"/>
    </row>
    <row r="47" spans="1:15" s="7" customFormat="1" ht="24.75" customHeight="1">
      <c r="A47" s="142"/>
      <c r="B47" s="143" t="s">
        <v>19</v>
      </c>
      <c r="C47" s="179">
        <f>L46</f>
        <v>329094.807</v>
      </c>
      <c r="D47" s="179"/>
      <c r="E47" s="148" t="s">
        <v>125</v>
      </c>
      <c r="F47" s="92">
        <f>ROUNDUP(L46/2,0)</f>
        <v>164548</v>
      </c>
      <c r="G47" s="144"/>
      <c r="H47" s="144"/>
      <c r="I47" s="144"/>
      <c r="J47" s="144"/>
      <c r="K47" s="144"/>
      <c r="L47" s="144"/>
      <c r="M47" s="145"/>
      <c r="N47" s="69"/>
      <c r="O47" s="6"/>
    </row>
    <row r="48" spans="1:14" s="6" customFormat="1" ht="24.75" customHeight="1">
      <c r="A48" s="181" t="s">
        <v>134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3"/>
      <c r="N48" s="63"/>
    </row>
    <row r="49" spans="1:14" s="6" customFormat="1" ht="24.75" customHeight="1">
      <c r="A49" s="9" t="s">
        <v>52</v>
      </c>
      <c r="B49" s="135" t="s">
        <v>99</v>
      </c>
      <c r="C49" s="10">
        <v>0.5</v>
      </c>
      <c r="D49" s="11" t="s">
        <v>100</v>
      </c>
      <c r="E49" s="47">
        <v>83000</v>
      </c>
      <c r="F49" s="8">
        <f aca="true" t="shared" si="9" ref="F49:F59">INT(E49*C49)</f>
        <v>41500</v>
      </c>
      <c r="G49" s="8"/>
      <c r="H49" s="8"/>
      <c r="I49" s="8"/>
      <c r="J49" s="8"/>
      <c r="K49" s="8">
        <f aca="true" t="shared" si="10" ref="K49:K58">SUM(E49,G49,I49)</f>
        <v>83000</v>
      </c>
      <c r="L49" s="8">
        <f aca="true" t="shared" si="11" ref="L49:L58">SUM(F49,H49,J49)</f>
        <v>41500</v>
      </c>
      <c r="M49" s="131"/>
      <c r="N49" s="62"/>
    </row>
    <row r="50" spans="1:17" s="74" customFormat="1" ht="24.75" customHeight="1">
      <c r="A50" s="9" t="s">
        <v>95</v>
      </c>
      <c r="B50" s="135" t="s">
        <v>101</v>
      </c>
      <c r="C50" s="10">
        <v>0.5</v>
      </c>
      <c r="D50" s="11" t="s">
        <v>102</v>
      </c>
      <c r="E50" s="47">
        <v>22000</v>
      </c>
      <c r="F50" s="8">
        <f t="shared" si="9"/>
        <v>11000</v>
      </c>
      <c r="G50" s="8"/>
      <c r="H50" s="8"/>
      <c r="I50" s="8"/>
      <c r="J50" s="8"/>
      <c r="K50" s="8">
        <f t="shared" si="10"/>
        <v>22000</v>
      </c>
      <c r="L50" s="8">
        <f t="shared" si="11"/>
        <v>11000</v>
      </c>
      <c r="M50" s="131"/>
      <c r="N50" s="94"/>
      <c r="O50" s="6"/>
      <c r="P50" s="95"/>
      <c r="Q50" s="95"/>
    </row>
    <row r="51" spans="1:15" s="74" customFormat="1" ht="24.75" customHeight="1">
      <c r="A51" s="9" t="s">
        <v>137</v>
      </c>
      <c r="B51" s="135" t="s">
        <v>136</v>
      </c>
      <c r="C51" s="10">
        <v>1</v>
      </c>
      <c r="D51" s="11" t="s">
        <v>105</v>
      </c>
      <c r="E51" s="47">
        <v>49000</v>
      </c>
      <c r="F51" s="8">
        <f t="shared" si="9"/>
        <v>49000</v>
      </c>
      <c r="G51" s="8"/>
      <c r="H51" s="8"/>
      <c r="I51" s="8"/>
      <c r="J51" s="8"/>
      <c r="K51" s="8">
        <f t="shared" si="10"/>
        <v>49000</v>
      </c>
      <c r="L51" s="8">
        <f t="shared" si="11"/>
        <v>49000</v>
      </c>
      <c r="M51" s="134" t="s">
        <v>96</v>
      </c>
      <c r="N51" s="94"/>
      <c r="O51" s="6"/>
    </row>
    <row r="52" spans="1:15" s="74" customFormat="1" ht="24.75" customHeight="1">
      <c r="A52" s="9" t="s">
        <v>138</v>
      </c>
      <c r="B52" s="135" t="s">
        <v>139</v>
      </c>
      <c r="C52" s="10">
        <v>1</v>
      </c>
      <c r="D52" s="11" t="s">
        <v>108</v>
      </c>
      <c r="E52" s="47">
        <v>47000</v>
      </c>
      <c r="F52" s="8">
        <f t="shared" si="9"/>
        <v>47000</v>
      </c>
      <c r="G52" s="8"/>
      <c r="H52" s="8"/>
      <c r="I52" s="8"/>
      <c r="J52" s="8"/>
      <c r="K52" s="8">
        <f t="shared" si="10"/>
        <v>47000</v>
      </c>
      <c r="L52" s="8">
        <f t="shared" si="11"/>
        <v>47000</v>
      </c>
      <c r="M52" s="134" t="s">
        <v>96</v>
      </c>
      <c r="N52" s="94"/>
      <c r="O52" s="6"/>
    </row>
    <row r="53" spans="1:14" s="74" customFormat="1" ht="24.75" customHeight="1">
      <c r="A53" s="9" t="s">
        <v>109</v>
      </c>
      <c r="B53" s="135" t="s">
        <v>110</v>
      </c>
      <c r="C53" s="10">
        <v>0.5</v>
      </c>
      <c r="D53" s="11" t="s">
        <v>111</v>
      </c>
      <c r="E53" s="47">
        <v>29200</v>
      </c>
      <c r="F53" s="8">
        <f t="shared" si="9"/>
        <v>14600</v>
      </c>
      <c r="G53" s="8"/>
      <c r="H53" s="8"/>
      <c r="I53" s="8"/>
      <c r="J53" s="8"/>
      <c r="K53" s="8">
        <f t="shared" si="10"/>
        <v>29200</v>
      </c>
      <c r="L53" s="8">
        <f t="shared" si="11"/>
        <v>14600</v>
      </c>
      <c r="M53" s="131"/>
      <c r="N53" s="94"/>
    </row>
    <row r="54" spans="1:14" s="74" customFormat="1" ht="24.75" customHeight="1">
      <c r="A54" s="9" t="s">
        <v>109</v>
      </c>
      <c r="B54" s="135" t="s">
        <v>112</v>
      </c>
      <c r="C54" s="10">
        <v>0.5</v>
      </c>
      <c r="D54" s="11" t="s">
        <v>111</v>
      </c>
      <c r="E54" s="47">
        <v>23000</v>
      </c>
      <c r="F54" s="8">
        <f t="shared" si="9"/>
        <v>11500</v>
      </c>
      <c r="G54" s="8"/>
      <c r="H54" s="8"/>
      <c r="I54" s="8"/>
      <c r="J54" s="8"/>
      <c r="K54" s="8">
        <f t="shared" si="10"/>
        <v>23000</v>
      </c>
      <c r="L54" s="8">
        <f t="shared" si="11"/>
        <v>11500</v>
      </c>
      <c r="M54" s="131"/>
      <c r="N54" s="94"/>
    </row>
    <row r="55" spans="1:14" s="74" customFormat="1" ht="24.75" customHeight="1">
      <c r="A55" s="9" t="s">
        <v>113</v>
      </c>
      <c r="B55" s="135" t="s">
        <v>114</v>
      </c>
      <c r="C55" s="10">
        <v>0.5</v>
      </c>
      <c r="D55" s="11" t="s">
        <v>108</v>
      </c>
      <c r="E55" s="47">
        <v>2300</v>
      </c>
      <c r="F55" s="8">
        <f t="shared" si="9"/>
        <v>1150</v>
      </c>
      <c r="G55" s="8"/>
      <c r="H55" s="8"/>
      <c r="I55" s="8"/>
      <c r="J55" s="8"/>
      <c r="K55" s="8">
        <f t="shared" si="10"/>
        <v>2300</v>
      </c>
      <c r="L55" s="8">
        <f t="shared" si="11"/>
        <v>1150</v>
      </c>
      <c r="M55" s="131"/>
      <c r="N55" s="94"/>
    </row>
    <row r="56" spans="1:15" s="6" customFormat="1" ht="24.75" customHeight="1">
      <c r="A56" s="9" t="s">
        <v>115</v>
      </c>
      <c r="B56" s="135" t="s">
        <v>116</v>
      </c>
      <c r="C56" s="10">
        <v>0.5</v>
      </c>
      <c r="D56" s="11" t="s">
        <v>117</v>
      </c>
      <c r="E56" s="47">
        <v>4000</v>
      </c>
      <c r="F56" s="8">
        <f t="shared" si="9"/>
        <v>2000</v>
      </c>
      <c r="G56" s="8"/>
      <c r="H56" s="8"/>
      <c r="I56" s="8"/>
      <c r="J56" s="8"/>
      <c r="K56" s="8">
        <f t="shared" si="10"/>
        <v>4000</v>
      </c>
      <c r="L56" s="8">
        <f t="shared" si="11"/>
        <v>2000</v>
      </c>
      <c r="M56" s="131"/>
      <c r="N56" s="64"/>
      <c r="O56" s="74"/>
    </row>
    <row r="57" spans="1:15" s="6" customFormat="1" ht="24.75" customHeight="1">
      <c r="A57" s="9" t="s">
        <v>118</v>
      </c>
      <c r="B57" s="135" t="s">
        <v>119</v>
      </c>
      <c r="C57" s="10">
        <v>1</v>
      </c>
      <c r="D57" s="11" t="s">
        <v>97</v>
      </c>
      <c r="E57" s="47">
        <v>2100</v>
      </c>
      <c r="F57" s="8">
        <f t="shared" si="9"/>
        <v>2100</v>
      </c>
      <c r="G57" s="8"/>
      <c r="H57" s="8"/>
      <c r="I57" s="8"/>
      <c r="J57" s="8"/>
      <c r="K57" s="8">
        <f t="shared" si="10"/>
        <v>2100</v>
      </c>
      <c r="L57" s="8">
        <f t="shared" si="11"/>
        <v>2100</v>
      </c>
      <c r="M57" s="131"/>
      <c r="N57" s="64"/>
      <c r="O57" s="74"/>
    </row>
    <row r="58" spans="1:15" s="6" customFormat="1" ht="24.75" customHeight="1">
      <c r="A58" s="9" t="s">
        <v>120</v>
      </c>
      <c r="B58" s="135" t="s">
        <v>121</v>
      </c>
      <c r="C58" s="10">
        <v>2</v>
      </c>
      <c r="D58" s="11" t="s">
        <v>122</v>
      </c>
      <c r="E58" s="47">
        <v>1200</v>
      </c>
      <c r="F58" s="8">
        <f t="shared" si="9"/>
        <v>2400</v>
      </c>
      <c r="G58" s="8"/>
      <c r="H58" s="8"/>
      <c r="I58" s="8"/>
      <c r="J58" s="8"/>
      <c r="K58" s="8">
        <f t="shared" si="10"/>
        <v>1200</v>
      </c>
      <c r="L58" s="8">
        <f t="shared" si="11"/>
        <v>2400</v>
      </c>
      <c r="M58" s="132"/>
      <c r="N58" s="64"/>
      <c r="O58" s="74"/>
    </row>
    <row r="59" spans="1:15" s="6" customFormat="1" ht="24.75" customHeight="1">
      <c r="A59" s="9" t="s">
        <v>123</v>
      </c>
      <c r="B59" s="135" t="s">
        <v>124</v>
      </c>
      <c r="C59" s="10">
        <v>10</v>
      </c>
      <c r="D59" s="11" t="s">
        <v>122</v>
      </c>
      <c r="E59" s="47">
        <v>900</v>
      </c>
      <c r="F59" s="8">
        <f t="shared" si="9"/>
        <v>9000</v>
      </c>
      <c r="G59" s="8"/>
      <c r="H59" s="8"/>
      <c r="I59" s="8"/>
      <c r="J59" s="8"/>
      <c r="K59" s="8">
        <f>SUM(E59,G59,I59)</f>
        <v>900</v>
      </c>
      <c r="L59" s="8">
        <f>SUM(F59,H59,J59)</f>
        <v>9000</v>
      </c>
      <c r="M59" s="131"/>
      <c r="N59" s="64"/>
      <c r="O59" s="74"/>
    </row>
    <row r="60" spans="1:16" s="6" customFormat="1" ht="24.75" customHeight="1">
      <c r="A60" s="139" t="s">
        <v>98</v>
      </c>
      <c r="B60" s="137"/>
      <c r="C60" s="10"/>
      <c r="D60" s="11"/>
      <c r="E60" s="47"/>
      <c r="F60" s="13">
        <f>SUM(F49:F59)</f>
        <v>191250</v>
      </c>
      <c r="G60" s="8"/>
      <c r="H60" s="13">
        <f>SUM(H49:H59)</f>
        <v>0</v>
      </c>
      <c r="I60" s="8"/>
      <c r="J60" s="13">
        <f>SUM(J49:J59)</f>
        <v>0</v>
      </c>
      <c r="K60" s="8"/>
      <c r="L60" s="13">
        <f aca="true" t="shared" si="12" ref="L60:L68">SUM(F60,H60,J60)</f>
        <v>191250</v>
      </c>
      <c r="M60" s="82" t="str">
        <f>M16</f>
        <v>2022. 01 거래가격 P.266</v>
      </c>
      <c r="N60" s="65"/>
      <c r="O60" s="133"/>
      <c r="P60" s="40"/>
    </row>
    <row r="61" spans="1:19" s="6" customFormat="1" ht="24.75" customHeight="1">
      <c r="A61" s="136" t="s">
        <v>39</v>
      </c>
      <c r="B61" s="135" t="s">
        <v>39</v>
      </c>
      <c r="C61" s="93">
        <f>$C17*50%</f>
        <v>0.0335</v>
      </c>
      <c r="D61" s="11" t="s">
        <v>18</v>
      </c>
      <c r="E61" s="147"/>
      <c r="F61" s="8"/>
      <c r="G61" s="8">
        <f>G39</f>
        <v>187435</v>
      </c>
      <c r="H61" s="8">
        <f>INT(G61*C61)</f>
        <v>6279</v>
      </c>
      <c r="I61" s="8"/>
      <c r="J61" s="8"/>
      <c r="K61" s="8">
        <f aca="true" t="shared" si="13" ref="K61:K66">SUM(E61,G61,I61)</f>
        <v>187435</v>
      </c>
      <c r="L61" s="8">
        <f t="shared" si="12"/>
        <v>6279</v>
      </c>
      <c r="M61" s="151" t="s">
        <v>143</v>
      </c>
      <c r="N61" s="66"/>
      <c r="O61" s="40"/>
      <c r="P61" s="40"/>
      <c r="Q61" s="40"/>
      <c r="R61" s="42"/>
      <c r="S61" s="42"/>
    </row>
    <row r="62" spans="1:16" s="6" customFormat="1" ht="24.75" customHeight="1">
      <c r="A62" s="136" t="s">
        <v>33</v>
      </c>
      <c r="B62" s="135" t="s">
        <v>33</v>
      </c>
      <c r="C62" s="93">
        <f>$C18*50%</f>
        <v>0.0665</v>
      </c>
      <c r="D62" s="11" t="s">
        <v>133</v>
      </c>
      <c r="E62" s="147"/>
      <c r="F62" s="8"/>
      <c r="G62" s="8">
        <f>G40</f>
        <v>148510</v>
      </c>
      <c r="H62" s="8">
        <f>INT(G62*C62)</f>
        <v>9875</v>
      </c>
      <c r="I62" s="8"/>
      <c r="J62" s="8"/>
      <c r="K62" s="8">
        <f t="shared" si="13"/>
        <v>148510</v>
      </c>
      <c r="L62" s="8">
        <f t="shared" si="12"/>
        <v>9875</v>
      </c>
      <c r="M62" s="82" t="str">
        <f>M61</f>
        <v>표준구간의 50%</v>
      </c>
      <c r="N62" s="66"/>
      <c r="O62" s="40"/>
      <c r="P62" s="40"/>
    </row>
    <row r="63" spans="1:15" s="6" customFormat="1" ht="24.75" customHeight="1">
      <c r="A63" s="9" t="s">
        <v>31</v>
      </c>
      <c r="B63" s="135" t="s">
        <v>46</v>
      </c>
      <c r="C63" s="93">
        <f>$C19*50%</f>
        <v>0.0445</v>
      </c>
      <c r="D63" s="11" t="s">
        <v>32</v>
      </c>
      <c r="E63" s="147">
        <f>E41</f>
        <v>20843</v>
      </c>
      <c r="F63" s="8">
        <f>INT(E63*C63)</f>
        <v>927</v>
      </c>
      <c r="G63" s="12">
        <f>G41</f>
        <v>47849</v>
      </c>
      <c r="H63" s="8">
        <f>INT(G63*C63)</f>
        <v>2129</v>
      </c>
      <c r="I63" s="12">
        <f>I41</f>
        <v>33324</v>
      </c>
      <c r="J63" s="8">
        <f>INT(I63*C63)</f>
        <v>1482</v>
      </c>
      <c r="K63" s="8">
        <f t="shared" si="13"/>
        <v>102016</v>
      </c>
      <c r="L63" s="8">
        <f t="shared" si="12"/>
        <v>4538</v>
      </c>
      <c r="M63" s="82" t="str">
        <f>M62</f>
        <v>표준구간의 50%</v>
      </c>
      <c r="N63" s="67"/>
      <c r="O63" s="40"/>
    </row>
    <row r="64" spans="1:14" s="6" customFormat="1" ht="24.75" customHeight="1">
      <c r="A64" s="9" t="s">
        <v>66</v>
      </c>
      <c r="B64" s="135" t="s">
        <v>55</v>
      </c>
      <c r="C64" s="141">
        <f>$C20*50%</f>
        <v>0.0445</v>
      </c>
      <c r="D64" s="11" t="s">
        <v>32</v>
      </c>
      <c r="E64" s="147">
        <f>E42</f>
        <v>5798</v>
      </c>
      <c r="F64" s="8">
        <f>INT(C64*E64)</f>
        <v>258</v>
      </c>
      <c r="G64" s="12">
        <f>G42</f>
        <v>39645</v>
      </c>
      <c r="H64" s="8">
        <f>INT(G64*C64)</f>
        <v>1764</v>
      </c>
      <c r="I64" s="12">
        <f>I42</f>
        <v>5965</v>
      </c>
      <c r="J64" s="8">
        <f>INT(C64*I64)</f>
        <v>265</v>
      </c>
      <c r="K64" s="8">
        <f t="shared" si="13"/>
        <v>51408</v>
      </c>
      <c r="L64" s="8">
        <f t="shared" si="12"/>
        <v>2287</v>
      </c>
      <c r="M64" s="82" t="str">
        <f>M63</f>
        <v>표준구간의 50%</v>
      </c>
      <c r="N64" s="67"/>
    </row>
    <row r="65" spans="1:14" s="6" customFormat="1" ht="24.75" customHeight="1">
      <c r="A65" s="9" t="s">
        <v>60</v>
      </c>
      <c r="B65" s="135" t="s">
        <v>61</v>
      </c>
      <c r="C65" s="141">
        <f>$C21*50%</f>
        <v>0.0445</v>
      </c>
      <c r="D65" s="11" t="s">
        <v>56</v>
      </c>
      <c r="E65" s="147">
        <f>E43</f>
        <v>7726</v>
      </c>
      <c r="F65" s="8">
        <f>C65*E65</f>
        <v>343.80699999999996</v>
      </c>
      <c r="G65" s="12">
        <f>G43</f>
        <v>29239.791666666664</v>
      </c>
      <c r="H65" s="8">
        <f>INT(G65*C65)</f>
        <v>1301</v>
      </c>
      <c r="I65" s="12">
        <f>I43</f>
        <v>3090</v>
      </c>
      <c r="J65" s="8">
        <f>INT(C65*I65)</f>
        <v>137</v>
      </c>
      <c r="K65" s="8">
        <f t="shared" si="13"/>
        <v>40055.791666666664</v>
      </c>
      <c r="L65" s="8">
        <f t="shared" si="12"/>
        <v>1781.807</v>
      </c>
      <c r="M65" s="82" t="str">
        <f>M64</f>
        <v>표준구간의 50%</v>
      </c>
      <c r="N65" s="67"/>
    </row>
    <row r="66" spans="1:16" s="6" customFormat="1" ht="24.75" customHeight="1">
      <c r="A66" s="9" t="s">
        <v>35</v>
      </c>
      <c r="B66" s="135" t="s">
        <v>38</v>
      </c>
      <c r="C66" s="138">
        <v>1</v>
      </c>
      <c r="D66" s="11" t="s">
        <v>34</v>
      </c>
      <c r="E66" s="47">
        <f>INT(SUM(H61:H62)*3%)</f>
        <v>484</v>
      </c>
      <c r="F66" s="8">
        <f>INT(E66*C66)</f>
        <v>484</v>
      </c>
      <c r="G66" s="8"/>
      <c r="H66" s="8"/>
      <c r="I66" s="43"/>
      <c r="J66" s="8"/>
      <c r="K66" s="8">
        <f t="shared" si="13"/>
        <v>484</v>
      </c>
      <c r="L66" s="8">
        <f t="shared" si="12"/>
        <v>484</v>
      </c>
      <c r="M66" s="140"/>
      <c r="N66" s="68"/>
      <c r="O66" s="40"/>
      <c r="P66" s="42"/>
    </row>
    <row r="67" spans="1:14" s="6" customFormat="1" ht="24.75" customHeight="1">
      <c r="A67" s="139" t="s">
        <v>47</v>
      </c>
      <c r="B67" s="137"/>
      <c r="C67" s="10"/>
      <c r="D67" s="11"/>
      <c r="E67" s="47"/>
      <c r="F67" s="13">
        <f>SUM(F61:F66)</f>
        <v>2012.807</v>
      </c>
      <c r="G67" s="8"/>
      <c r="H67" s="13">
        <f>SUM(H61:H66)</f>
        <v>21348</v>
      </c>
      <c r="I67" s="8"/>
      <c r="J67" s="13">
        <f>SUM(J61:J66)</f>
        <v>1884</v>
      </c>
      <c r="K67" s="8"/>
      <c r="L67" s="13">
        <f t="shared" si="12"/>
        <v>25244.807</v>
      </c>
      <c r="M67" s="39"/>
      <c r="N67" s="65"/>
    </row>
    <row r="68" spans="1:14" s="6" customFormat="1" ht="24.75" customHeight="1">
      <c r="A68" s="139" t="s">
        <v>37</v>
      </c>
      <c r="B68" s="137"/>
      <c r="C68" s="10"/>
      <c r="D68" s="11"/>
      <c r="E68" s="47"/>
      <c r="F68" s="13">
        <f>SUM(F60,F67)</f>
        <v>193262.807</v>
      </c>
      <c r="G68" s="8"/>
      <c r="H68" s="13">
        <f>SUM(H60,H67)</f>
        <v>21348</v>
      </c>
      <c r="I68" s="8"/>
      <c r="J68" s="13">
        <f>SUM(J60,J67)</f>
        <v>1884</v>
      </c>
      <c r="K68" s="8"/>
      <c r="L68" s="13">
        <f t="shared" si="12"/>
        <v>216494.807</v>
      </c>
      <c r="M68" s="39"/>
      <c r="N68" s="65"/>
    </row>
    <row r="69" spans="1:15" s="7" customFormat="1" ht="24.75" customHeight="1">
      <c r="A69" s="142"/>
      <c r="B69" s="143" t="s">
        <v>19</v>
      </c>
      <c r="C69" s="179">
        <f>L68</f>
        <v>216494.807</v>
      </c>
      <c r="D69" s="179"/>
      <c r="E69" s="148" t="s">
        <v>125</v>
      </c>
      <c r="F69" s="92">
        <f>ROUNDUP(L68/2,0)</f>
        <v>108248</v>
      </c>
      <c r="G69" s="144"/>
      <c r="H69" s="144"/>
      <c r="I69" s="144"/>
      <c r="J69" s="144"/>
      <c r="K69" s="144"/>
      <c r="L69" s="144"/>
      <c r="M69" s="145"/>
      <c r="N69" s="69"/>
      <c r="O69" s="6"/>
    </row>
  </sheetData>
  <sheetProtection/>
  <mergeCells count="16">
    <mergeCell ref="A1:M1"/>
    <mergeCell ref="A2:A3"/>
    <mergeCell ref="B2:B3"/>
    <mergeCell ref="C2:C3"/>
    <mergeCell ref="D2:D3"/>
    <mergeCell ref="E2:F2"/>
    <mergeCell ref="G2:H2"/>
    <mergeCell ref="C69:D69"/>
    <mergeCell ref="I2:J2"/>
    <mergeCell ref="K2:L2"/>
    <mergeCell ref="C47:D47"/>
    <mergeCell ref="A26:M26"/>
    <mergeCell ref="A48:M48"/>
    <mergeCell ref="M2:M3"/>
    <mergeCell ref="A4:M4"/>
    <mergeCell ref="C25:D25"/>
  </mergeCells>
  <printOptions horizontalCentered="1"/>
  <pageMargins left="0.4724409448818898" right="0.2362204724409449" top="1.062992125984252" bottom="0.31496062992125984" header="0.6299212598425197" footer="0.15748031496062992"/>
  <pageSetup horizontalDpi="300" verticalDpi="300" orientation="landscape" paperSize="9" scale="78" r:id="rId1"/>
  <headerFooter alignWithMargins="0">
    <oddHeader>&amp;C&amp;"굴림체,굵게"&amp;16일   위   대   가   표&amp;R&amp;10
</oddHeader>
    <oddFooter>&amp;R&amp;8SGS-H775 / 2015-02-09</oddFooter>
  </headerFooter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7.10546875" defaultRowHeight="29.25" customHeight="1"/>
  <cols>
    <col min="1" max="1" width="18.3359375" style="3" customWidth="1"/>
    <col min="2" max="2" width="12.5546875" style="4" customWidth="1"/>
    <col min="3" max="3" width="5.88671875" style="3" customWidth="1"/>
    <col min="4" max="4" width="4.77734375" style="5" customWidth="1"/>
    <col min="5" max="12" width="9.77734375" style="1" customWidth="1"/>
    <col min="13" max="13" width="33.77734375" style="15" customWidth="1"/>
    <col min="14" max="18" width="7.10546875" style="3" customWidth="1"/>
    <col min="19" max="19" width="8.10546875" style="3" customWidth="1"/>
    <col min="20" max="16384" width="7.10546875" style="3" customWidth="1"/>
  </cols>
  <sheetData>
    <row r="1" spans="1:13" ht="24" customHeight="1">
      <c r="A1" s="198" t="s">
        <v>20</v>
      </c>
      <c r="B1" s="196" t="s">
        <v>21</v>
      </c>
      <c r="C1" s="196" t="s">
        <v>22</v>
      </c>
      <c r="D1" s="196" t="s">
        <v>23</v>
      </c>
      <c r="E1" s="197" t="s">
        <v>24</v>
      </c>
      <c r="F1" s="197"/>
      <c r="G1" s="197" t="s">
        <v>25</v>
      </c>
      <c r="H1" s="197"/>
      <c r="I1" s="197" t="s">
        <v>26</v>
      </c>
      <c r="J1" s="197"/>
      <c r="K1" s="197" t="s">
        <v>27</v>
      </c>
      <c r="L1" s="197"/>
      <c r="M1" s="199" t="s">
        <v>28</v>
      </c>
    </row>
    <row r="2" spans="1:13" ht="24" customHeight="1">
      <c r="A2" s="191"/>
      <c r="B2" s="192"/>
      <c r="C2" s="192"/>
      <c r="D2" s="192"/>
      <c r="E2" s="83" t="s">
        <v>29</v>
      </c>
      <c r="F2" s="83" t="s">
        <v>30</v>
      </c>
      <c r="G2" s="83" t="s">
        <v>29</v>
      </c>
      <c r="H2" s="83" t="s">
        <v>30</v>
      </c>
      <c r="I2" s="83" t="s">
        <v>29</v>
      </c>
      <c r="J2" s="83" t="s">
        <v>30</v>
      </c>
      <c r="K2" s="83" t="s">
        <v>29</v>
      </c>
      <c r="L2" s="83" t="s">
        <v>30</v>
      </c>
      <c r="M2" s="184"/>
    </row>
    <row r="3" spans="1:13" ht="24" customHeight="1">
      <c r="A3" s="185" t="s">
        <v>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9" ht="24" customHeight="1">
      <c r="A4" s="9" t="s">
        <v>78</v>
      </c>
      <c r="B4" s="14" t="s">
        <v>41</v>
      </c>
      <c r="C4" s="10">
        <v>1</v>
      </c>
      <c r="D4" s="11" t="s">
        <v>79</v>
      </c>
      <c r="E4" s="8"/>
      <c r="F4" s="8"/>
      <c r="G4" s="8"/>
      <c r="H4" s="8"/>
      <c r="I4" s="8">
        <f>Q4*R4*S4</f>
        <v>24867.080599999998</v>
      </c>
      <c r="J4" s="8">
        <f>INT(I4*C4)</f>
        <v>24867</v>
      </c>
      <c r="K4" s="8">
        <f aca="true" t="shared" si="0" ref="K4:L8">SUM(E4,G4,I4)</f>
        <v>24867.080599999998</v>
      </c>
      <c r="L4" s="8">
        <f t="shared" si="0"/>
        <v>24867</v>
      </c>
      <c r="M4" s="82" t="str">
        <f>O4&amp;"년 건설공사표준품셈(대한건설협회) P."&amp;P4&amp;"
기계값x시간당손료율="&amp;Q4&amp;"x"&amp;R4&amp;"x"&amp;S4</f>
        <v>2022년 건설공사표준품셈(대한건설협회) P.651,702,718
기계값x시간당손료율=109114000x2279x0.0000001</v>
      </c>
      <c r="O4" s="5">
        <f>base!A9</f>
        <v>2022</v>
      </c>
      <c r="P4" s="5" t="str">
        <f>base!B9</f>
        <v>651,702,718</v>
      </c>
      <c r="Q4" s="5">
        <f>base!G9</f>
        <v>109114000</v>
      </c>
      <c r="R4" s="5">
        <f>base!H9</f>
        <v>2279</v>
      </c>
      <c r="S4" s="5">
        <f>base!I9</f>
        <v>1E-07</v>
      </c>
    </row>
    <row r="5" spans="1:19" ht="24" customHeight="1">
      <c r="A5" s="9" t="s">
        <v>42</v>
      </c>
      <c r="B5" s="14"/>
      <c r="C5" s="10">
        <v>1</v>
      </c>
      <c r="D5" s="11" t="s">
        <v>32</v>
      </c>
      <c r="E5" s="8"/>
      <c r="F5" s="8"/>
      <c r="G5" s="8"/>
      <c r="H5" s="8"/>
      <c r="I5" s="8">
        <f>Q5*R5*S5</f>
        <v>8457.2012</v>
      </c>
      <c r="J5" s="8">
        <f>INT(I5*C5)</f>
        <v>8457</v>
      </c>
      <c r="K5" s="8">
        <f t="shared" si="0"/>
        <v>8457.2012</v>
      </c>
      <c r="L5" s="8">
        <f t="shared" si="0"/>
        <v>8457</v>
      </c>
      <c r="M5" s="82" t="str">
        <f>O5&amp;"년 건설공사표준품셈(대한건설협회) P."&amp;P5&amp;"
기계값x시간당손료율="&amp;Q5&amp;"x"&amp;R5&amp;"x"&amp;S5</f>
        <v>2022년 건설공사표준품셈(대한건설협회) P.652,718
기계값x시간당손료율=12812000x6601x0.0000001</v>
      </c>
      <c r="O5" s="5">
        <f>base!A10</f>
        <v>2022</v>
      </c>
      <c r="P5" s="5" t="str">
        <f>base!B10</f>
        <v>652,718</v>
      </c>
      <c r="Q5" s="5">
        <f>base!G10</f>
        <v>12812000</v>
      </c>
      <c r="R5" s="5">
        <f>base!H10</f>
        <v>6601</v>
      </c>
      <c r="S5" s="5">
        <f>base!I10</f>
        <v>1E-07</v>
      </c>
    </row>
    <row r="6" spans="1:20" ht="24" customHeight="1">
      <c r="A6" s="9" t="s">
        <v>43</v>
      </c>
      <c r="B6" s="14" t="s">
        <v>80</v>
      </c>
      <c r="C6" s="10">
        <v>11.6</v>
      </c>
      <c r="D6" s="37" t="s">
        <v>81</v>
      </c>
      <c r="E6" s="47">
        <f>base!G26</f>
        <v>1449.090909090909</v>
      </c>
      <c r="F6" s="8">
        <f>INT(E6*C6)</f>
        <v>16809</v>
      </c>
      <c r="G6" s="8"/>
      <c r="H6" s="8"/>
      <c r="I6" s="8"/>
      <c r="J6" s="8"/>
      <c r="K6" s="8">
        <f t="shared" si="0"/>
        <v>1449.090909090909</v>
      </c>
      <c r="L6" s="8">
        <f t="shared" si="0"/>
        <v>16809</v>
      </c>
      <c r="M6" s="76" t="str">
        <f>O6&amp;".0"&amp;P6&amp;" "&amp;Q6&amp;" P."&amp;R6</f>
        <v>2022.01 거래가격 P.1435</v>
      </c>
      <c r="N6" s="74"/>
      <c r="O6" s="77">
        <f>base!A26</f>
        <v>2022</v>
      </c>
      <c r="P6" s="77">
        <f>base!B26</f>
        <v>1</v>
      </c>
      <c r="Q6" s="77" t="str">
        <f>base!C26</f>
        <v>거래가격</v>
      </c>
      <c r="R6" s="77">
        <f>base!D26</f>
        <v>1435</v>
      </c>
      <c r="S6" s="77"/>
      <c r="T6" s="74"/>
    </row>
    <row r="7" spans="1:13" ht="24" customHeight="1">
      <c r="A7" s="9" t="s">
        <v>45</v>
      </c>
      <c r="B7" s="14" t="s">
        <v>126</v>
      </c>
      <c r="C7" s="10">
        <v>0.24</v>
      </c>
      <c r="D7" s="38" t="s">
        <v>34</v>
      </c>
      <c r="E7" s="8">
        <f>(F6)</f>
        <v>16809</v>
      </c>
      <c r="F7" s="8">
        <f>INT(E7*C7)</f>
        <v>4034</v>
      </c>
      <c r="G7" s="8"/>
      <c r="H7" s="8"/>
      <c r="I7" s="8"/>
      <c r="J7" s="8"/>
      <c r="K7" s="8">
        <f t="shared" si="0"/>
        <v>16809</v>
      </c>
      <c r="L7" s="8">
        <f t="shared" si="0"/>
        <v>4034</v>
      </c>
      <c r="M7" s="41"/>
    </row>
    <row r="8" spans="1:13" ht="24" customHeight="1">
      <c r="A8" s="9" t="s">
        <v>49</v>
      </c>
      <c r="B8" s="14"/>
      <c r="C8" s="80">
        <f>((1/8)*(16/12)*(25/20))</f>
        <v>0.20833333333333331</v>
      </c>
      <c r="D8" s="38" t="s">
        <v>18</v>
      </c>
      <c r="E8" s="8"/>
      <c r="F8" s="8"/>
      <c r="G8" s="8">
        <f>G25</f>
        <v>229676</v>
      </c>
      <c r="H8" s="8">
        <f>INT(G8*C8)</f>
        <v>47849</v>
      </c>
      <c r="I8" s="8"/>
      <c r="J8" s="8"/>
      <c r="K8" s="8">
        <f t="shared" si="0"/>
        <v>229676</v>
      </c>
      <c r="L8" s="8">
        <f t="shared" si="0"/>
        <v>47849</v>
      </c>
      <c r="M8" s="81" t="s">
        <v>74</v>
      </c>
    </row>
    <row r="9" spans="1:13" s="16" customFormat="1" ht="24" customHeight="1">
      <c r="A9" s="52" t="s">
        <v>40</v>
      </c>
      <c r="B9" s="49"/>
      <c r="C9" s="50"/>
      <c r="D9" s="51"/>
      <c r="E9" s="59"/>
      <c r="F9" s="59">
        <f>SUM(F4:F8)</f>
        <v>20843</v>
      </c>
      <c r="G9" s="59"/>
      <c r="H9" s="59">
        <f>SUM(H4:H8)</f>
        <v>47849</v>
      </c>
      <c r="I9" s="59"/>
      <c r="J9" s="59">
        <f>SUM(J4:J8)</f>
        <v>33324</v>
      </c>
      <c r="K9" s="59"/>
      <c r="L9" s="59">
        <f>SUM(L4:L8)</f>
        <v>102016</v>
      </c>
      <c r="M9" s="53"/>
    </row>
    <row r="10" spans="1:13" ht="24" customHeight="1">
      <c r="A10" s="185" t="s">
        <v>63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</row>
    <row r="11" spans="1:22" ht="24" customHeight="1">
      <c r="A11" s="54" t="s">
        <v>75</v>
      </c>
      <c r="B11" s="45" t="s">
        <v>76</v>
      </c>
      <c r="C11" s="44">
        <v>1</v>
      </c>
      <c r="D11" s="46" t="s">
        <v>73</v>
      </c>
      <c r="E11" s="47"/>
      <c r="F11" s="47"/>
      <c r="G11" s="47"/>
      <c r="H11" s="47"/>
      <c r="I11" s="8">
        <f>Q11*R11*S11</f>
        <v>5965.153499999999</v>
      </c>
      <c r="J11" s="8">
        <f>INT(I11*C11)</f>
        <v>5965</v>
      </c>
      <c r="K11" s="8">
        <f aca="true" t="shared" si="1" ref="K11:L14">SUM(E11,G11,I11)</f>
        <v>5965.153499999999</v>
      </c>
      <c r="L11" s="8">
        <f t="shared" si="1"/>
        <v>5965</v>
      </c>
      <c r="M11" s="82" t="str">
        <f>O11&amp;"년 건설공사표준품셈(대한건설협회) P."&amp;P11&amp;"
기계값x시간당손료율="&amp;Q11&amp;"x"&amp;R11&amp;"x"&amp;S11</f>
        <v>2022년 건설공사표준품셈(대한건설협회) P.655,703,719
기계값x시간당손료율=20105000x2967x0.0000001</v>
      </c>
      <c r="O11" s="5">
        <f>base!A11</f>
        <v>2022</v>
      </c>
      <c r="P11" s="5" t="str">
        <f>base!B11</f>
        <v>655,703,719</v>
      </c>
      <c r="Q11" s="5">
        <f>base!G11</f>
        <v>20105000</v>
      </c>
      <c r="R11" s="5">
        <f>base!H11</f>
        <v>2967</v>
      </c>
      <c r="S11" s="5">
        <f>base!I11</f>
        <v>1E-07</v>
      </c>
      <c r="T11" s="74"/>
      <c r="U11" s="74"/>
      <c r="V11" s="74"/>
    </row>
    <row r="12" spans="1:22" ht="24" customHeight="1">
      <c r="A12" s="9" t="s">
        <v>43</v>
      </c>
      <c r="B12" s="14" t="str">
        <f>B6</f>
        <v>0.001W% S</v>
      </c>
      <c r="C12" s="48">
        <v>2.9</v>
      </c>
      <c r="D12" s="75" t="s">
        <v>44</v>
      </c>
      <c r="E12" s="47">
        <f>E6</f>
        <v>1449.090909090909</v>
      </c>
      <c r="F12" s="47">
        <f>INT(E12*C12)</f>
        <v>4202</v>
      </c>
      <c r="G12" s="47"/>
      <c r="H12" s="47"/>
      <c r="I12" s="47"/>
      <c r="J12" s="47"/>
      <c r="K12" s="8">
        <f t="shared" si="1"/>
        <v>1449.090909090909</v>
      </c>
      <c r="L12" s="47">
        <f t="shared" si="1"/>
        <v>4202</v>
      </c>
      <c r="M12" s="76" t="str">
        <f>M6</f>
        <v>2022.01 거래가격 P.1435</v>
      </c>
      <c r="N12" s="74"/>
      <c r="O12" s="77"/>
      <c r="P12" s="77"/>
      <c r="Q12" s="77"/>
      <c r="R12" s="77"/>
      <c r="S12" s="77"/>
      <c r="T12" s="74"/>
      <c r="U12" s="74"/>
      <c r="V12" s="74"/>
    </row>
    <row r="13" spans="1:22" ht="24" customHeight="1">
      <c r="A13" s="54" t="s">
        <v>45</v>
      </c>
      <c r="B13" s="45" t="s">
        <v>77</v>
      </c>
      <c r="C13" s="44">
        <v>0.38</v>
      </c>
      <c r="D13" s="46" t="s">
        <v>34</v>
      </c>
      <c r="E13" s="47">
        <f>F12</f>
        <v>4202</v>
      </c>
      <c r="F13" s="47">
        <f>INT(E13*C13)</f>
        <v>1596</v>
      </c>
      <c r="G13" s="47"/>
      <c r="H13" s="47"/>
      <c r="I13" s="47"/>
      <c r="J13" s="47"/>
      <c r="K13" s="8">
        <f t="shared" si="1"/>
        <v>4202</v>
      </c>
      <c r="L13" s="47">
        <f t="shared" si="1"/>
        <v>1596</v>
      </c>
      <c r="M13" s="78"/>
      <c r="N13" s="79"/>
      <c r="O13" s="79"/>
      <c r="P13" s="79"/>
      <c r="Q13" s="79"/>
      <c r="R13" s="79"/>
      <c r="S13" s="79"/>
      <c r="T13" s="79"/>
      <c r="U13" s="79"/>
      <c r="V13" s="79"/>
    </row>
    <row r="14" spans="1:13" ht="24" customHeight="1">
      <c r="A14" s="54" t="s">
        <v>57</v>
      </c>
      <c r="B14" s="45"/>
      <c r="C14" s="80">
        <f>((1/8)*(16/12)*(25/20))</f>
        <v>0.20833333333333331</v>
      </c>
      <c r="D14" s="46" t="s">
        <v>58</v>
      </c>
      <c r="E14" s="47"/>
      <c r="F14" s="47"/>
      <c r="G14" s="47">
        <f>L26</f>
        <v>190297</v>
      </c>
      <c r="H14" s="8">
        <f>INT(G14*C14)</f>
        <v>39645</v>
      </c>
      <c r="I14" s="47"/>
      <c r="J14" s="47"/>
      <c r="K14" s="8">
        <f t="shared" si="1"/>
        <v>190297</v>
      </c>
      <c r="L14" s="8">
        <f t="shared" si="1"/>
        <v>39645</v>
      </c>
      <c r="M14" s="81" t="s">
        <v>50</v>
      </c>
    </row>
    <row r="15" spans="1:13" ht="24" customHeight="1">
      <c r="A15" s="57" t="s">
        <v>59</v>
      </c>
      <c r="B15" s="58"/>
      <c r="C15" s="44"/>
      <c r="D15" s="46"/>
      <c r="E15" s="47"/>
      <c r="F15" s="59">
        <f>SUM(F11:F14)</f>
        <v>5798</v>
      </c>
      <c r="G15" s="47"/>
      <c r="H15" s="59">
        <f>SUM(H11:H14)</f>
        <v>39645</v>
      </c>
      <c r="I15" s="47"/>
      <c r="J15" s="59">
        <f>SUM(J11:J14)</f>
        <v>5965</v>
      </c>
      <c r="K15" s="47"/>
      <c r="L15" s="59">
        <f>SUM(L11:L14)</f>
        <v>51408</v>
      </c>
      <c r="M15" s="60"/>
    </row>
    <row r="16" spans="1:13" ht="24" customHeight="1">
      <c r="A16" s="185" t="s">
        <v>65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</row>
    <row r="17" spans="1:19" s="74" customFormat="1" ht="24" customHeight="1">
      <c r="A17" s="54" t="s">
        <v>71</v>
      </c>
      <c r="B17" s="45" t="s">
        <v>72</v>
      </c>
      <c r="C17" s="44">
        <v>1</v>
      </c>
      <c r="D17" s="46" t="s">
        <v>73</v>
      </c>
      <c r="E17" s="47"/>
      <c r="F17" s="47"/>
      <c r="G17" s="47"/>
      <c r="H17" s="47"/>
      <c r="I17" s="8">
        <f>Q17*R17*S17</f>
        <v>3090.6769999999997</v>
      </c>
      <c r="J17" s="8">
        <f>INT(I17*C17)</f>
        <v>3090</v>
      </c>
      <c r="K17" s="8">
        <f aca="true" t="shared" si="2" ref="K17:L20">SUM(E17,G17,I17)</f>
        <v>3090.6769999999997</v>
      </c>
      <c r="L17" s="8">
        <f t="shared" si="2"/>
        <v>3090</v>
      </c>
      <c r="M17" s="82" t="str">
        <f>O17&amp;"년 건설공사표준품셈(대한건설협회) P."&amp;P17&amp;"
기계값x시간당손료율="&amp;Q17&amp;"x"&amp;R17&amp;"x"&amp;S17</f>
        <v>2022년 건설공사표준품셈(대한건설협회) P.691,712,730
기계값x시간당손료율=13085000x2362x0.0000001</v>
      </c>
      <c r="N17" s="3"/>
      <c r="O17" s="5">
        <f>base!A7</f>
        <v>2022</v>
      </c>
      <c r="P17" s="5" t="str">
        <f>base!B7</f>
        <v>691,712,730</v>
      </c>
      <c r="Q17" s="5">
        <f>base!G7</f>
        <v>13085000</v>
      </c>
      <c r="R17" s="5">
        <f>base!H7</f>
        <v>2362</v>
      </c>
      <c r="S17" s="5">
        <f>base!I7</f>
        <v>1E-07</v>
      </c>
    </row>
    <row r="18" spans="1:19" s="74" customFormat="1" ht="24" customHeight="1">
      <c r="A18" s="9" t="s">
        <v>43</v>
      </c>
      <c r="B18" s="14" t="str">
        <f>B12</f>
        <v>0.001W% S</v>
      </c>
      <c r="C18" s="48">
        <v>4.3</v>
      </c>
      <c r="D18" s="75" t="s">
        <v>44</v>
      </c>
      <c r="E18" s="47">
        <f>E12</f>
        <v>1449.090909090909</v>
      </c>
      <c r="F18" s="47">
        <f>INT(E18*C18)</f>
        <v>6231</v>
      </c>
      <c r="G18" s="47"/>
      <c r="H18" s="47"/>
      <c r="I18" s="47"/>
      <c r="J18" s="47"/>
      <c r="K18" s="8">
        <f t="shared" si="2"/>
        <v>1449.090909090909</v>
      </c>
      <c r="L18" s="47">
        <f t="shared" si="2"/>
        <v>6231</v>
      </c>
      <c r="M18" s="76" t="str">
        <f>M6</f>
        <v>2022.01 거래가격 P.1435</v>
      </c>
      <c r="O18" s="77"/>
      <c r="P18" s="77"/>
      <c r="Q18" s="77"/>
      <c r="R18" s="77"/>
      <c r="S18" s="77"/>
    </row>
    <row r="19" spans="1:13" s="79" customFormat="1" ht="24" customHeight="1">
      <c r="A19" s="54" t="s">
        <v>45</v>
      </c>
      <c r="B19" s="45" t="s">
        <v>48</v>
      </c>
      <c r="C19" s="44">
        <v>0.24</v>
      </c>
      <c r="D19" s="46" t="s">
        <v>34</v>
      </c>
      <c r="E19" s="47">
        <f>F18</f>
        <v>6231</v>
      </c>
      <c r="F19" s="47">
        <f>INT(E19*C19)</f>
        <v>1495</v>
      </c>
      <c r="G19" s="47"/>
      <c r="H19" s="47"/>
      <c r="I19" s="47"/>
      <c r="J19" s="47"/>
      <c r="K19" s="8">
        <f t="shared" si="2"/>
        <v>6231</v>
      </c>
      <c r="L19" s="47">
        <f t="shared" si="2"/>
        <v>1495</v>
      </c>
      <c r="M19" s="78"/>
    </row>
    <row r="20" spans="1:13" s="79" customFormat="1" ht="24" customHeight="1">
      <c r="A20" s="54" t="s">
        <v>62</v>
      </c>
      <c r="B20" s="45"/>
      <c r="C20" s="80">
        <f>((1/8)*(16/12)*(25/20))</f>
        <v>0.20833333333333331</v>
      </c>
      <c r="D20" s="46" t="s">
        <v>64</v>
      </c>
      <c r="E20" s="47"/>
      <c r="F20" s="47"/>
      <c r="G20" s="47">
        <f>G27</f>
        <v>140351</v>
      </c>
      <c r="H20" s="47">
        <f>C20*G20</f>
        <v>29239.791666666664</v>
      </c>
      <c r="I20" s="47"/>
      <c r="J20" s="47"/>
      <c r="K20" s="8">
        <f t="shared" si="2"/>
        <v>140351</v>
      </c>
      <c r="L20" s="47">
        <f t="shared" si="2"/>
        <v>29239.791666666664</v>
      </c>
      <c r="M20" s="81" t="s">
        <v>74</v>
      </c>
    </row>
    <row r="21" spans="1:13" ht="24" customHeight="1">
      <c r="A21" s="57" t="s">
        <v>59</v>
      </c>
      <c r="B21" s="58"/>
      <c r="C21" s="44"/>
      <c r="D21" s="46"/>
      <c r="E21" s="47"/>
      <c r="F21" s="59">
        <f>SUM(F17:F20)</f>
        <v>7726</v>
      </c>
      <c r="G21" s="47"/>
      <c r="H21" s="59">
        <f>SUM(H17:H20)</f>
        <v>29239.791666666664</v>
      </c>
      <c r="I21" s="47"/>
      <c r="J21" s="59">
        <f>SUM(J17:J20)</f>
        <v>3090</v>
      </c>
      <c r="K21" s="47"/>
      <c r="L21" s="59">
        <f>SUM(L17:L20)</f>
        <v>40055.791666666664</v>
      </c>
      <c r="M21" s="60"/>
    </row>
    <row r="22" spans="1:13" ht="24" customHeight="1">
      <c r="A22" s="193" t="s">
        <v>54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</row>
    <row r="23" spans="1:13" ht="24" customHeight="1">
      <c r="A23" s="84" t="s">
        <v>39</v>
      </c>
      <c r="B23" s="71" t="str">
        <f>base!B14</f>
        <v>2022.1.1기준</v>
      </c>
      <c r="C23" s="72">
        <v>1</v>
      </c>
      <c r="D23" s="73" t="s">
        <v>82</v>
      </c>
      <c r="E23" s="8"/>
      <c r="F23" s="8">
        <v>0</v>
      </c>
      <c r="G23" s="8">
        <f>base!E14</f>
        <v>187435</v>
      </c>
      <c r="H23" s="8">
        <f>C23*G23</f>
        <v>187435</v>
      </c>
      <c r="I23" s="8"/>
      <c r="J23" s="8"/>
      <c r="K23" s="8">
        <f>SUM(E23,G23,I23)</f>
        <v>187435</v>
      </c>
      <c r="L23" s="8">
        <f>F23+H23+J23</f>
        <v>187435</v>
      </c>
      <c r="M23" s="55"/>
    </row>
    <row r="24" spans="1:13" ht="24" customHeight="1">
      <c r="A24" s="84" t="s">
        <v>33</v>
      </c>
      <c r="B24" s="71" t="str">
        <f>B23</f>
        <v>2022.1.1기준</v>
      </c>
      <c r="C24" s="72">
        <v>1</v>
      </c>
      <c r="D24" s="73" t="s">
        <v>82</v>
      </c>
      <c r="E24" s="8"/>
      <c r="F24" s="8">
        <v>0</v>
      </c>
      <c r="G24" s="8">
        <f>base!E15</f>
        <v>148510</v>
      </c>
      <c r="H24" s="8">
        <f>C24*G24</f>
        <v>148510</v>
      </c>
      <c r="I24" s="8"/>
      <c r="J24" s="8"/>
      <c r="K24" s="8">
        <f>SUM(E24,G24,I24)</f>
        <v>148510</v>
      </c>
      <c r="L24" s="8">
        <f>F24+H24+J24</f>
        <v>148510</v>
      </c>
      <c r="M24" s="56"/>
    </row>
    <row r="25" spans="1:13" ht="24" customHeight="1">
      <c r="A25" s="85" t="s">
        <v>67</v>
      </c>
      <c r="B25" s="71" t="str">
        <f>B24</f>
        <v>2022.1.1기준</v>
      </c>
      <c r="C25" s="72">
        <v>1</v>
      </c>
      <c r="D25" s="73" t="s">
        <v>68</v>
      </c>
      <c r="E25" s="8"/>
      <c r="F25" s="8">
        <f>C25*E25</f>
        <v>0</v>
      </c>
      <c r="G25" s="8">
        <f>base!E19</f>
        <v>229676</v>
      </c>
      <c r="H25" s="8">
        <f>C25*G25</f>
        <v>229676</v>
      </c>
      <c r="I25" s="8"/>
      <c r="J25" s="8"/>
      <c r="K25" s="8">
        <f>SUM(E25,G25,I25)</f>
        <v>229676</v>
      </c>
      <c r="L25" s="8">
        <f>F25+H25+J25</f>
        <v>229676</v>
      </c>
      <c r="M25" s="55"/>
    </row>
    <row r="26" spans="1:13" ht="24" customHeight="1">
      <c r="A26" s="84" t="s">
        <v>69</v>
      </c>
      <c r="B26" s="71" t="str">
        <f>B24</f>
        <v>2022.1.1기준</v>
      </c>
      <c r="C26" s="72">
        <v>1</v>
      </c>
      <c r="D26" s="73" t="s">
        <v>68</v>
      </c>
      <c r="E26" s="8"/>
      <c r="F26" s="8">
        <f>C26*E26</f>
        <v>0</v>
      </c>
      <c r="G26" s="8">
        <f>base!E18</f>
        <v>190297</v>
      </c>
      <c r="H26" s="8">
        <f>C26*G26</f>
        <v>190297</v>
      </c>
      <c r="I26" s="8"/>
      <c r="J26" s="8"/>
      <c r="K26" s="8">
        <f>SUM(E26,G26,I26)</f>
        <v>190297</v>
      </c>
      <c r="L26" s="8">
        <f>F26+H26+J26</f>
        <v>190297</v>
      </c>
      <c r="M26" s="55"/>
    </row>
    <row r="27" spans="1:13" ht="24" customHeight="1">
      <c r="A27" s="86" t="s">
        <v>70</v>
      </c>
      <c r="B27" s="87" t="str">
        <f>B25</f>
        <v>2022.1.1기준</v>
      </c>
      <c r="C27" s="88">
        <v>1</v>
      </c>
      <c r="D27" s="89" t="s">
        <v>68</v>
      </c>
      <c r="E27" s="90"/>
      <c r="F27" s="90">
        <f>C27*E27</f>
        <v>0</v>
      </c>
      <c r="G27" s="90">
        <f>base!E17</f>
        <v>140351</v>
      </c>
      <c r="H27" s="90">
        <f>C27*G27</f>
        <v>140351</v>
      </c>
      <c r="I27" s="90"/>
      <c r="J27" s="90"/>
      <c r="K27" s="90">
        <f>SUM(E27,G27,I27)</f>
        <v>140351</v>
      </c>
      <c r="L27" s="90">
        <f>F27+H27+J27</f>
        <v>140351</v>
      </c>
      <c r="M27" s="91"/>
    </row>
    <row r="28" ht="24.75" customHeight="1"/>
  </sheetData>
  <sheetProtection/>
  <mergeCells count="13">
    <mergeCell ref="E1:F1"/>
    <mergeCell ref="G1:H1"/>
    <mergeCell ref="I1:J1"/>
    <mergeCell ref="A22:M22"/>
    <mergeCell ref="A10:M10"/>
    <mergeCell ref="D1:D2"/>
    <mergeCell ref="A3:M3"/>
    <mergeCell ref="K1:L1"/>
    <mergeCell ref="A16:M16"/>
    <mergeCell ref="A1:A2"/>
    <mergeCell ref="B1:B2"/>
    <mergeCell ref="C1:C2"/>
    <mergeCell ref="M1:M2"/>
  </mergeCells>
  <printOptions/>
  <pageMargins left="0.4724409448818898" right="0.2362204724409449" top="0.8661417322834646" bottom="0.1968503937007874" header="0.4330708661417323" footer="0.15748031496062992"/>
  <pageSetup horizontalDpi="300" verticalDpi="300" orientation="landscape" paperSize="9" scale="78" r:id="rId1"/>
  <headerFooter alignWithMargins="0">
    <oddHeader>&amp;C&amp;"굴림체,굵게"&amp;16기    본    대    가    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8"/>
    </sheetView>
  </sheetViews>
  <sheetFormatPr defaultColWidth="8.88671875" defaultRowHeight="13.5"/>
  <cols>
    <col min="1" max="1" width="11.6640625" style="96" bestFit="1" customWidth="1"/>
    <col min="2" max="2" width="9.88671875" style="96" bestFit="1" customWidth="1"/>
    <col min="3" max="3" width="10.10546875" style="96" bestFit="1" customWidth="1"/>
    <col min="4" max="4" width="8.88671875" style="96" customWidth="1"/>
    <col min="5" max="5" width="9.3359375" style="96" bestFit="1" customWidth="1"/>
    <col min="6" max="6" width="8.77734375" style="96" bestFit="1" customWidth="1"/>
    <col min="7" max="7" width="11.10546875" style="96" bestFit="1" customWidth="1"/>
    <col min="8" max="8" width="10.77734375" style="96" bestFit="1" customWidth="1"/>
    <col min="9" max="16384" width="8.88671875" style="96" customWidth="1"/>
  </cols>
  <sheetData>
    <row r="1" spans="1:5" ht="16.5">
      <c r="A1" s="201" t="s">
        <v>144</v>
      </c>
      <c r="B1" s="202"/>
      <c r="D1" s="201" t="s">
        <v>145</v>
      </c>
      <c r="E1" s="202"/>
    </row>
    <row r="2" spans="1:5" ht="16.5">
      <c r="A2" s="97" t="s">
        <v>83</v>
      </c>
      <c r="B2" s="153" t="s">
        <v>84</v>
      </c>
      <c r="D2" s="97" t="s">
        <v>83</v>
      </c>
      <c r="E2" s="153" t="s">
        <v>84</v>
      </c>
    </row>
    <row r="3" spans="1:5" ht="16.5">
      <c r="A3" s="98">
        <v>2022</v>
      </c>
      <c r="B3" s="99">
        <v>795</v>
      </c>
      <c r="D3" s="98">
        <v>2022</v>
      </c>
      <c r="E3" s="99">
        <v>266</v>
      </c>
    </row>
    <row r="5" spans="1:9" ht="16.5">
      <c r="A5" s="203" t="s">
        <v>163</v>
      </c>
      <c r="B5" s="204"/>
      <c r="C5" s="204"/>
      <c r="D5" s="204"/>
      <c r="E5" s="204"/>
      <c r="F5" s="204"/>
      <c r="G5" s="204"/>
      <c r="H5" s="204"/>
      <c r="I5" s="205"/>
    </row>
    <row r="6" spans="1:13" ht="16.5">
      <c r="A6" s="97" t="s">
        <v>146</v>
      </c>
      <c r="B6" s="152" t="s">
        <v>164</v>
      </c>
      <c r="C6" s="152" t="s">
        <v>165</v>
      </c>
      <c r="D6" s="152" t="s">
        <v>147</v>
      </c>
      <c r="E6" s="152" t="s">
        <v>166</v>
      </c>
      <c r="F6" s="152" t="s">
        <v>148</v>
      </c>
      <c r="G6" s="152" t="s">
        <v>167</v>
      </c>
      <c r="H6" s="206" t="s">
        <v>168</v>
      </c>
      <c r="I6" s="207"/>
      <c r="J6" s="100"/>
      <c r="K6" s="100"/>
      <c r="L6" s="100"/>
      <c r="M6" s="100"/>
    </row>
    <row r="7" spans="1:13" ht="16.5">
      <c r="A7" s="97">
        <v>2022</v>
      </c>
      <c r="B7" s="212" t="s">
        <v>176</v>
      </c>
      <c r="C7" s="152" t="s">
        <v>149</v>
      </c>
      <c r="D7" s="101">
        <v>25</v>
      </c>
      <c r="E7" s="152">
        <v>4.3</v>
      </c>
      <c r="F7" s="152">
        <v>24</v>
      </c>
      <c r="G7" s="102">
        <v>13085000</v>
      </c>
      <c r="H7" s="103">
        <v>2362</v>
      </c>
      <c r="I7" s="104">
        <v>1E-07</v>
      </c>
      <c r="J7" s="100"/>
      <c r="K7" s="100"/>
      <c r="L7" s="100"/>
      <c r="M7" s="100"/>
    </row>
    <row r="8" spans="1:13" ht="16.5">
      <c r="A8" s="97">
        <v>2022</v>
      </c>
      <c r="B8" s="212" t="s">
        <v>177</v>
      </c>
      <c r="C8" s="152" t="s">
        <v>169</v>
      </c>
      <c r="D8" s="105">
        <f>15.24/2.54</f>
        <v>6</v>
      </c>
      <c r="E8" s="152"/>
      <c r="F8" s="152"/>
      <c r="G8" s="102">
        <v>786000</v>
      </c>
      <c r="H8" s="103">
        <v>5268</v>
      </c>
      <c r="I8" s="104">
        <v>1E-07</v>
      </c>
      <c r="J8" s="100"/>
      <c r="K8" s="100"/>
      <c r="L8" s="100"/>
      <c r="M8" s="100"/>
    </row>
    <row r="9" spans="1:13" ht="16.5">
      <c r="A9" s="97">
        <v>2022</v>
      </c>
      <c r="B9" s="212" t="s">
        <v>178</v>
      </c>
      <c r="C9" s="152" t="s">
        <v>150</v>
      </c>
      <c r="D9" s="106">
        <v>0.6</v>
      </c>
      <c r="E9" s="152">
        <v>11.6</v>
      </c>
      <c r="F9" s="152">
        <v>24</v>
      </c>
      <c r="G9" s="102">
        <v>109114000</v>
      </c>
      <c r="H9" s="103">
        <v>2279</v>
      </c>
      <c r="I9" s="104">
        <v>1E-07</v>
      </c>
      <c r="J9" s="154"/>
      <c r="K9" s="100"/>
      <c r="L9" s="100"/>
      <c r="M9" s="100"/>
    </row>
    <row r="10" spans="1:13" ht="16.5">
      <c r="A10" s="97">
        <v>2022</v>
      </c>
      <c r="B10" s="212" t="s">
        <v>179</v>
      </c>
      <c r="C10" s="152" t="s">
        <v>151</v>
      </c>
      <c r="D10" s="106">
        <v>0.6</v>
      </c>
      <c r="E10" s="152"/>
      <c r="F10" s="152"/>
      <c r="G10" s="102">
        <v>12812000</v>
      </c>
      <c r="H10" s="103">
        <v>6601</v>
      </c>
      <c r="I10" s="104">
        <v>1E-07</v>
      </c>
      <c r="J10" s="154"/>
      <c r="K10" s="100"/>
      <c r="L10" s="100"/>
      <c r="M10" s="100"/>
    </row>
    <row r="11" spans="1:13" ht="16.5">
      <c r="A11" s="98">
        <v>2022</v>
      </c>
      <c r="B11" s="213" t="s">
        <v>180</v>
      </c>
      <c r="C11" s="107" t="s">
        <v>152</v>
      </c>
      <c r="D11" s="108">
        <v>2.5</v>
      </c>
      <c r="E11" s="107">
        <v>2.9</v>
      </c>
      <c r="F11" s="107">
        <v>38</v>
      </c>
      <c r="G11" s="109">
        <v>20105000</v>
      </c>
      <c r="H11" s="110">
        <v>2967</v>
      </c>
      <c r="I11" s="111">
        <v>1E-07</v>
      </c>
      <c r="J11" s="100"/>
      <c r="K11" s="100"/>
      <c r="L11" s="100"/>
      <c r="M11" s="100"/>
    </row>
    <row r="12" spans="1:13" ht="16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6.5">
      <c r="A13" s="208" t="s">
        <v>153</v>
      </c>
      <c r="B13" s="209"/>
      <c r="C13" s="209"/>
      <c r="D13" s="209"/>
      <c r="E13" s="210"/>
      <c r="F13" s="100"/>
      <c r="G13" s="100"/>
      <c r="H13" s="100"/>
      <c r="I13" s="100"/>
      <c r="J13" s="100"/>
      <c r="K13" s="100"/>
      <c r="L13" s="100"/>
      <c r="M13" s="100"/>
    </row>
    <row r="14" spans="1:13" ht="16.5">
      <c r="A14" s="112" t="s">
        <v>85</v>
      </c>
      <c r="B14" s="113" t="s">
        <v>181</v>
      </c>
      <c r="C14" s="114">
        <v>1</v>
      </c>
      <c r="D14" s="115" t="s">
        <v>82</v>
      </c>
      <c r="E14" s="116">
        <v>187435</v>
      </c>
      <c r="F14" s="100"/>
      <c r="G14" s="214"/>
      <c r="H14" s="100"/>
      <c r="I14" s="100"/>
      <c r="J14" s="100"/>
      <c r="K14" s="100"/>
      <c r="L14" s="100"/>
      <c r="M14" s="100"/>
    </row>
    <row r="15" spans="1:13" ht="16.5">
      <c r="A15" s="112" t="s">
        <v>86</v>
      </c>
      <c r="B15" s="113" t="s">
        <v>182</v>
      </c>
      <c r="C15" s="114">
        <v>1</v>
      </c>
      <c r="D15" s="115" t="s">
        <v>82</v>
      </c>
      <c r="E15" s="116">
        <v>148510</v>
      </c>
      <c r="F15" s="100"/>
      <c r="G15" s="214"/>
      <c r="H15" s="100"/>
      <c r="I15" s="100"/>
      <c r="J15" s="100"/>
      <c r="K15" s="100"/>
      <c r="L15" s="100"/>
      <c r="M15" s="100"/>
    </row>
    <row r="16" spans="1:13" ht="16.5">
      <c r="A16" s="112" t="s">
        <v>87</v>
      </c>
      <c r="B16" s="113" t="s">
        <v>182</v>
      </c>
      <c r="C16" s="114">
        <v>1</v>
      </c>
      <c r="D16" s="115" t="s">
        <v>82</v>
      </c>
      <c r="E16" s="116">
        <v>214374</v>
      </c>
      <c r="F16" s="100"/>
      <c r="G16" s="214"/>
      <c r="H16" s="100"/>
      <c r="I16" s="100"/>
      <c r="J16" s="100"/>
      <c r="K16" s="100"/>
      <c r="L16" s="100"/>
      <c r="M16" s="100"/>
    </row>
    <row r="17" spans="1:11" ht="16.5">
      <c r="A17" s="112" t="s">
        <v>88</v>
      </c>
      <c r="B17" s="113" t="s">
        <v>182</v>
      </c>
      <c r="C17" s="114">
        <v>1</v>
      </c>
      <c r="D17" s="115" t="s">
        <v>82</v>
      </c>
      <c r="E17" s="116">
        <v>140351</v>
      </c>
      <c r="F17" s="117"/>
      <c r="G17" s="215"/>
      <c r="H17" s="117"/>
      <c r="I17" s="117"/>
      <c r="J17" s="117"/>
      <c r="K17" s="117"/>
    </row>
    <row r="18" spans="1:11" ht="16.5">
      <c r="A18" s="112" t="s">
        <v>57</v>
      </c>
      <c r="B18" s="113" t="s">
        <v>182</v>
      </c>
      <c r="C18" s="114">
        <v>1</v>
      </c>
      <c r="D18" s="115" t="s">
        <v>82</v>
      </c>
      <c r="E18" s="116">
        <v>190297</v>
      </c>
      <c r="F18" s="117"/>
      <c r="G18" s="215"/>
      <c r="H18" s="117"/>
      <c r="I18" s="117"/>
      <c r="J18" s="117"/>
      <c r="K18" s="117"/>
    </row>
    <row r="19" spans="1:7" ht="16.5">
      <c r="A19" s="118" t="s">
        <v>154</v>
      </c>
      <c r="B19" s="119" t="s">
        <v>182</v>
      </c>
      <c r="C19" s="120">
        <v>1</v>
      </c>
      <c r="D19" s="121" t="s">
        <v>82</v>
      </c>
      <c r="E19" s="122">
        <v>229676</v>
      </c>
      <c r="G19" s="215"/>
    </row>
    <row r="21" spans="1:7" ht="16.5">
      <c r="A21" s="123" t="s">
        <v>155</v>
      </c>
      <c r="B21" s="124"/>
      <c r="C21" s="124"/>
      <c r="D21" s="124"/>
      <c r="E21" s="124"/>
      <c r="F21" s="124"/>
      <c r="G21" s="125"/>
    </row>
    <row r="22" spans="1:7" ht="16.5">
      <c r="A22" s="97" t="s">
        <v>146</v>
      </c>
      <c r="B22" s="152" t="s">
        <v>156</v>
      </c>
      <c r="C22" s="152" t="s">
        <v>170</v>
      </c>
      <c r="D22" s="126" t="s">
        <v>164</v>
      </c>
      <c r="E22" s="152" t="s">
        <v>157</v>
      </c>
      <c r="F22" s="152" t="s">
        <v>147</v>
      </c>
      <c r="G22" s="153" t="s">
        <v>171</v>
      </c>
    </row>
    <row r="23" spans="1:10" ht="16.5" customHeight="1">
      <c r="A23" s="97">
        <v>2022</v>
      </c>
      <c r="B23" s="152">
        <v>1</v>
      </c>
      <c r="C23" s="152" t="s">
        <v>172</v>
      </c>
      <c r="D23" s="127">
        <v>1322</v>
      </c>
      <c r="E23" s="152" t="s">
        <v>158</v>
      </c>
      <c r="F23" s="105">
        <f>17.78/2.54</f>
        <v>7</v>
      </c>
      <c r="G23" s="116">
        <f>147000+60000+60000</f>
        <v>267000</v>
      </c>
      <c r="H23" s="200" t="s">
        <v>159</v>
      </c>
      <c r="I23" s="211" t="s">
        <v>173</v>
      </c>
      <c r="J23" s="128"/>
    </row>
    <row r="24" spans="1:9" ht="16.5">
      <c r="A24" s="97">
        <v>2022</v>
      </c>
      <c r="B24" s="127">
        <f>B23</f>
        <v>1</v>
      </c>
      <c r="C24" s="152" t="s">
        <v>172</v>
      </c>
      <c r="D24" s="127">
        <f>D23</f>
        <v>1322</v>
      </c>
      <c r="E24" s="152" t="s">
        <v>158</v>
      </c>
      <c r="F24" s="105">
        <f>15.24/2.54</f>
        <v>6</v>
      </c>
      <c r="G24" s="116">
        <f>118000+38000+24000</f>
        <v>180000</v>
      </c>
      <c r="H24" s="200"/>
      <c r="I24" s="211"/>
    </row>
    <row r="25" spans="1:9" ht="16.5">
      <c r="A25" s="97">
        <v>2022</v>
      </c>
      <c r="B25" s="127">
        <f>B24</f>
        <v>1</v>
      </c>
      <c r="C25" s="152" t="s">
        <v>172</v>
      </c>
      <c r="D25" s="127">
        <f>D24</f>
        <v>1322</v>
      </c>
      <c r="E25" s="152" t="s">
        <v>158</v>
      </c>
      <c r="F25" s="105">
        <f>2.54/2.54</f>
        <v>1</v>
      </c>
      <c r="G25" s="116">
        <f>26000+6500+9100</f>
        <v>41600</v>
      </c>
      <c r="H25" s="128" t="s">
        <v>160</v>
      </c>
      <c r="I25" s="211"/>
    </row>
    <row r="26" spans="1:7" ht="16.5">
      <c r="A26" s="98">
        <v>2022</v>
      </c>
      <c r="B26" s="107">
        <f>B25</f>
        <v>1</v>
      </c>
      <c r="C26" s="107" t="s">
        <v>161</v>
      </c>
      <c r="D26" s="129">
        <v>1435</v>
      </c>
      <c r="E26" s="107" t="s">
        <v>174</v>
      </c>
      <c r="F26" s="130" t="s">
        <v>162</v>
      </c>
      <c r="G26" s="122">
        <f>1594/1.1</f>
        <v>1449.090909090909</v>
      </c>
    </row>
  </sheetData>
  <sheetProtection/>
  <mergeCells count="7">
    <mergeCell ref="H23:H24"/>
    <mergeCell ref="A1:B1"/>
    <mergeCell ref="A5:I5"/>
    <mergeCell ref="H6:I6"/>
    <mergeCell ref="A13:E13"/>
    <mergeCell ref="D1:E1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2015-02-09T06:09:26Z</cp:lastPrinted>
  <dcterms:created xsi:type="dcterms:W3CDTF">2001-04-21T04:10:40Z</dcterms:created>
  <dcterms:modified xsi:type="dcterms:W3CDTF">2022-02-15T05:40:08Z</dcterms:modified>
  <cp:category/>
  <cp:version/>
  <cp:contentType/>
  <cp:contentStatus/>
</cp:coreProperties>
</file>